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<sst xmlns="http://schemas.openxmlformats.org/spreadsheetml/2006/main" count="2160" uniqueCount="884">
  <si>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</si>
  <si>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</si>
  <si>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</si>
  <si>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</si>
  <si>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</si>
  <si>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</si>
  <si>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</si>
  <si>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</si>
  <si>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</si>
  <si>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</si>
  <si>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</si>
  <si>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</si>
  <si>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</si>
  <si>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</si>
  <si>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</si>
  <si>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</si>
  <si>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</si>
  <si>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</si>
  <si>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</si>
  <si>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</si>
  <si>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</si>
  <si>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</si>
  <si>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</si>
  <si>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</si>
  <si>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</si>
  <si>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</si>
  <si>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</si>
  <si>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</si>
  <si>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</si>
  <si>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</si>
  <si>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</si>
  <si>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</si>
  <si>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</si>
  <si>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</si>
  <si>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</si>
  <si>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</si>
  <si>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</si>
  <si>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</si>
  <si>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</si>
  <si>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</si>
  <si>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</si>
  <si>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</si>
  <si>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</si>
  <si>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</si>
  <si>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</si>
  <si>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</si>
  <si>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</si>
  <si>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</si>
  <si>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</si>
  <si>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</si>
  <si>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</si>
  <si>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</si>
  <si>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</si>
  <si>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</si>
  <si>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</si>
  <si>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</si>
  <si>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</si>
  <si>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</si>
  <si>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</si>
  <si>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</si>
  <si>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</si>
  <si>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</si>
  <si>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</si>
  <si>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</si>
  <si>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</si>
  <si>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</si>
  <si>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</si>
  <si>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</si>
  <si>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</si>
  <si>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</si>
  <si>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</si>
  <si>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</si>
  <si>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</si>
  <si>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</si>
  <si>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</si>
  <si>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</si>
  <si>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</si>
  <si>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</si>
  <si>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</si>
  <si>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</si>
  <si>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</si>
  <si>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</si>
  <si>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</si>
  <si>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</si>
  <si>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</si>
  <si>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</si>
  <si>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</si>
  <si>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</si>
  <si>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</si>
  <si>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</si>
  <si>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</si>
  <si>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</si>
  <si>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</si>
  <si>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</si>
  <si>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</si>
  <si>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</si>
  <si>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</si>
  <si>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</si>
  <si>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</si>
  <si>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</si>
  <si>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</si>
  <si>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</si>
  <si>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</si>
  <si>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</si>
  <si>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</si>
  <si>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</si>
  <si>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</si>
  <si>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</si>
  <si>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</si>
  <si>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</si>
  <si>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</si>
  <si>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</si>
  <si>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</si>
  <si>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</si>
  <si>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</si>
  <si>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</si>
  <si>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</si>
  <si>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</si>
  <si>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</si>
  <si>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</si>
  <si>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</si>
  <si>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</si>
  <si>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</si>
  <si>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</si>
  <si>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</si>
  <si>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</si>
  <si>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</si>
  <si>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</si>
  <si>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</si>
  <si>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</si>
  <si>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</si>
  <si>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</si>
  <si>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</si>
  <si>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</si>
  <si>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</si>
  <si>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</si>
  <si>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</si>
  <si>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</si>
  <si>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</si>
  <si>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</si>
  <si>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</si>
  <si>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</si>
  <si>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</si>
  <si>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</si>
  <si>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</si>
  <si>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</si>
  <si>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</si>
  <si>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</si>
  <si>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</si>
  <si>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</si>
  <si>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</si>
  <si>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</si>
  <si>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</si>
  <si>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</si>
  <si>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</si>
  <si>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</si>
  <si>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</si>
  <si>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</si>
  <si>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</si>
  <si>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</si>
  <si>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</si>
  <si>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</si>
  <si>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</si>
  <si>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</si>
  <si>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</si>
  <si>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</si>
  <si>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</si>
  <si>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</si>
  <si>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</si>
  <si>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</si>
  <si>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</si>
  <si>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</si>
  <si>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</si>
  <si>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</si>
  <si>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</si>
  <si>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</si>
  <si>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</si>
  <si>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</si>
  <si>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</si>
  <si>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</si>
  <si>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</si>
  <si>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</si>
  <si>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</si>
  <si>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</si>
  <si>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</si>
  <si>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</si>
  <si>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</si>
  <si>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</si>
  <si>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</si>
  <si>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</si>
  <si>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</si>
  <si>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</si>
  <si>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</si>
  <si>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</si>
  <si>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</si>
  <si>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</si>
  <si>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</si>
  <si>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</si>
  <si>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</si>
  <si>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</si>
  <si>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</si>
  <si>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</si>
  <si>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</si>
  <si>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</si>
  <si>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</si>
  <si>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</si>
  <si>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</si>
  <si>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</si>
  <si>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</si>
  <si>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</si>
  <si>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</si>
  <si>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</si>
  <si>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</si>
  <si>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</si>
  <si>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</si>
  <si>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</si>
  <si>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</si>
  <si>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</si>
  <si>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</si>
  <si>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</si>
  <si>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</si>
  <si>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</si>
  <si>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</si>
  <si>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</si>
  <si>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</si>
  <si>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</si>
  <si>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</si>
  <si>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</si>
  <si>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</si>
  <si>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</si>
  <si>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</si>
  <si>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</si>
  <si>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</si>
  <si>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</si>
  <si>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</si>
  <si>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</si>
  <si>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</si>
  <si>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</si>
  <si>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</si>
  <si>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</si>
  <si>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</si>
  <si>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</si>
  <si>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</si>
  <si>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</si>
  <si>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</si>
  <si>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</si>
  <si>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</si>
  <si>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</si>
  <si>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</si>
  <si>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</si>
  <si>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</si>
  <si>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</si>
  <si>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</si>
  <si>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</si>
  <si>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</si>
  <si>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</si>
  <si>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</si>
  <si>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</si>
  <si>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</si>
  <si>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</si>
  <si>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</si>
  <si>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</si>
  <si>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</si>
  <si>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</si>
  <si>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</si>
  <si>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</si>
  <si>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</si>
  <si>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</si>
  <si>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</si>
  <si>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</si>
  <si>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</si>
  <si>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</si>
  <si>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</si>
  <si>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</si>
  <si>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</si>
  <si>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</si>
  <si>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</si>
  <si>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</si>
  <si>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</si>
  <si>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</si>
  <si>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</si>
  <si>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</si>
  <si>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</si>
  <si>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</si>
  <si>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</si>
  <si>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</si>
  <si>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</si>
  <si>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</si>
  <si>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</si>
  <si>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</si>
  <si>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</si>
  <si>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</si>
  <si>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</si>
  <si>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</si>
  <si>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</si>
  <si>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</si>
  <si>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</si>
  <si>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</si>
  <si>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</si>
  <si>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</si>
  <si>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</si>
  <si>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</si>
  <si>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</si>
  <si>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</si>
  <si>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</si>
  <si>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</si>
  <si>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</si>
  <si>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</si>
  <si>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</si>
  <si>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</si>
  <si>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</si>
  <si>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</si>
  <si>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</si>
  <si>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</si>
  <si>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</si>
  <si>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</si>
  <si>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</si>
  <si>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</si>
  <si>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</si>
  <si>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</si>
  <si>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</si>
  <si>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</si>
  <si>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</si>
  <si>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</si>
  <si>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</si>
  <si>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</si>
  <si>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</si>
  <si>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</si>
  <si>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</si>
  <si>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</si>
  <si>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</si>
  <si>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</si>
  <si>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</si>
  <si>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</si>
  <si>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</si>
  <si>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</si>
  <si>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</si>
  <si>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</si>
  <si>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</si>
  <si>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</si>
  <si>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</si>
  <si>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</si>
  <si>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</si>
  <si>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</si>
  <si>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</si>
  <si>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</si>
  <si>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</si>
  <si>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</si>
  <si>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</si>
  <si>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</si>
  <si>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</si>
  <si>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</si>
  <si>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</si>
  <si>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</si>
  <si>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</si>
  <si>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</si>
  <si>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</si>
  <si>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</si>
  <si>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</si>
  <si>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</si>
  <si>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</si>
  <si>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</si>
  <si>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</si>
  <si>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</si>
  <si>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</si>
  <si>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</si>
  <si>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</si>
  <si>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</si>
  <si>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</si>
  <si>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</si>
  <si>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</si>
  <si>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</si>
  <si>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</si>
  <si>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</si>
  <si>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</si>
  <si>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</si>
  <si>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</si>
  <si>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</si>
  <si>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</si>
  <si>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</si>
  <si>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</si>
  <si>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</si>
  <si>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</si>
  <si>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</si>
  <si>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</si>
  <si>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</si>
  <si>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</si>
  <si>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</si>
  <si>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</si>
  <si>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</si>
  <si>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</si>
  <si>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</si>
  <si>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</si>
  <si>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</si>
  <si>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</si>
  <si>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</si>
  <si>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</si>
  <si>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</si>
  <si>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</si>
  <si>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</si>
  <si>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</si>
  <si>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</si>
  <si>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</si>
  <si>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</si>
  <si>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</si>
  <si>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</si>
  <si>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</si>
  <si>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</si>
  <si>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</si>
  <si>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</si>
  <si>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</si>
  <si>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</si>
  <si>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</si>
  <si>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</si>
  <si>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</si>
  <si>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</si>
  <si>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</si>
  <si>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</si>
  <si>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</si>
  <si>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</si>
  <si>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</si>
  <si>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</si>
  <si>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</si>
  <si>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</si>
  <si>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</si>
  <si>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</si>
  <si>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</si>
  <si>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</si>
  <si>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</si>
  <si>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</si>
  <si>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</si>
  <si>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</si>
  <si>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</si>
  <si>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</si>
  <si>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</si>
  <si>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</si>
  <si>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</si>
  <si>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</si>
  <si>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</si>
  <si>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</si>
  <si>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</si>
  <si>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</si>
  <si>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</si>
  <si>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</si>
  <si>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</si>
  <si>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</si>
  <si>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</si>
  <si>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</si>
  <si>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</si>
  <si>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</si>
  <si>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</si>
  <si>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</si>
  <si>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</si>
  <si>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</si>
  <si>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</si>
  <si>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</si>
  <si>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</si>
  <si>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</si>
  <si>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</si>
  <si>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</si>
  <si>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</si>
  <si>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</si>
  <si>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</si>
  <si>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</si>
  <si>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</si>
  <si>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</si>
  <si>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</si>
  <si>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</si>
  <si>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</si>
  <si>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</si>
  <si>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</si>
  <si>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</si>
  <si>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</si>
  <si>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</si>
  <si>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</si>
  <si>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</si>
  <si>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</si>
  <si>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</si>
  <si>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</si>
  <si>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</si>
  <si>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</si>
  <si>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</si>
  <si>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</si>
  <si>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</si>
  <si>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</si>
  <si>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</si>
  <si>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</si>
  <si>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</si>
  <si>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</si>
  <si>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</si>
  <si>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</si>
  <si>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</si>
  <si>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</si>
  <si>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</si>
  <si>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</si>
  <si>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</si>
  <si>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</si>
  <si>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</si>
  <si>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</si>
  <si>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</si>
  <si>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</si>
  <si>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</si>
  <si>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</si>
  <si>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</si>
  <si>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</si>
  <si>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</si>
  <si>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</si>
  <si>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</si>
  <si>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</si>
  <si>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</si>
  <si>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</si>
  <si>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</si>
  <si>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</si>
  <si>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</si>
  <si>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</si>
  <si>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</si>
  <si>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</si>
  <si>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</si>
  <si>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</si>
  <si>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</si>
  <si>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</si>
  <si>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</si>
  <si>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</si>
  <si>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</si>
  <si>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</si>
  <si>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</si>
  <si>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</si>
  <si>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</si>
  <si>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</si>
  <si>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</si>
  <si>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</si>
  <si>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</si>
  <si>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</si>
  <si>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</si>
  <si>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</si>
  <si>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</si>
  <si>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</si>
  <si>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</si>
  <si>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</si>
  <si>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</si>
  <si>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</si>
  <si>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</si>
  <si>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</si>
  <si>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</si>
  <si>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</si>
  <si>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</si>
  <si>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</si>
  <si>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</si>
  <si>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</si>
  <si>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</si>
  <si>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</si>
  <si>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</si>
  <si>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</si>
  <si>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</si>
  <si>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</si>
  <si>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</si>
  <si>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</si>
  <si>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</si>
  <si>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</si>
  <si>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</si>
  <si>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</si>
  <si>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</si>
  <si>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</si>
  <si>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</si>
  <si>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</si>
  <si>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</si>
  <si>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</si>
  <si>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</si>
  <si>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</si>
  <si>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</si>
  <si>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</si>
  <si>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</si>
  <si>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</si>
  <si>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</si>
  <si>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</si>
  <si>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</si>
  <si>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</si>
  <si>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</si>
  <si>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</si>
  <si>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</si>
  <si>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</si>
  <si>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</si>
  <si>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</si>
  <si>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</si>
  <si>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</si>
  <si>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</si>
  <si>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</si>
  <si>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</si>
  <si>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</si>
  <si>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</si>
  <si>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</si>
  <si>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</si>
  <si>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</si>
  <si>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</si>
  <si>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</si>
  <si>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</si>
  <si>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</si>
  <si>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</si>
  <si>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</si>
  <si>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</si>
  <si>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</si>
  <si>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</si>
  <si>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</si>
  <si>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</si>
  <si>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</si>
  <si>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</si>
  <si>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</si>
  <si>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</si>
  <si>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</si>
  <si>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</si>
  <si>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</si>
  <si>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</si>
  <si>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</si>
  <si>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</si>
  <si>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</si>
  <si>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</si>
  <si>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</si>
  <si>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</si>
  <si>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</si>
  <si>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</si>
  <si>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</si>
  <si>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</si>
  <si>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</si>
  <si>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</si>
  <si>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</si>
  <si>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</si>
  <si>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</si>
  <si>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</si>
  <si>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</si>
  <si>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</si>
  <si>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</si>
  <si>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</si>
  <si>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</si>
  <si>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</si>
  <si>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</si>
  <si>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</si>
  <si>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</si>
  <si>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</si>
  <si>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</si>
  <si>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</si>
  <si>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</si>
  <si>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</si>
  <si>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</si>
  <si>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</si>
  <si>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</si>
  <si>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</si>
  <si>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</si>
  <si>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</si>
  <si>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</si>
  <si>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</si>
  <si>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</si>
  <si>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</si>
  <si>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</si>
  <si>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</si>
  <si>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</si>
  <si>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</si>
  <si>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</si>
  <si>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</si>
  <si>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</si>
  <si>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</si>
  <si>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</si>
  <si>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</si>
  <si>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</si>
  <si>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</si>
  <si>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</si>
  <si>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</si>
  <si>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</si>
  <si>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</si>
  <si>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</si>
  <si>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</si>
  <si>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</si>
  <si>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</si>
  <si>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</si>
  <si>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</si>
  <si>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</si>
  <si>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</si>
  <si>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</si>
  <si>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</si>
  <si>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</si>
  <si>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</si>
  <si>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</si>
  <si>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</si>
  <si>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</si>
  <si>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</si>
  <si>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</si>
  <si>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</si>
  <si>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</si>
  <si>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</si>
  <si>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</si>
  <si>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</si>
  <si>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</si>
  <si>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</si>
  <si>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</si>
  <si>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</si>
  <si>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</si>
  <si>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</si>
  <si>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</si>
  <si>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</si>
  <si>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</si>
  <si>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</si>
  <si>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</si>
  <si>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</si>
  <si>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</si>
  <si>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</si>
  <si>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</si>
  <si>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</si>
  <si>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</si>
  <si>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</si>
  <si>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</si>
  <si>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</si>
  <si>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</si>
  <si>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</si>
  <si>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</si>
  <si>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</si>
  <si>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</si>
  <si>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</si>
  <si>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</si>
  <si>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</si>
  <si>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</si>
  <si>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</si>
  <si>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</si>
  <si>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</si>
  <si>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</si>
  <si>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</si>
  <si>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</si>
  <si>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</si>
  <si>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</si>
  <si>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</si>
  <si>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</si>
  <si>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</si>
  <si>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</si>
  <si>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</si>
  <si>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</si>
  <si>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</si>
  <si>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</si>
  <si>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</si>
  <si>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</si>
  <si>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</si>
  <si>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</si>
  <si>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</si>
  <si>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</si>
  <si>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</si>
  <si>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</si>
  <si>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</si>
  <si>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</si>
  <si>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</si>
  <si>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</si>
  <si>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</si>
  <si>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</si>
  <si>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</si>
  <si>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</si>
  <si>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</si>
  <si>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</si>
  <si>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</si>
  <si>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</si>
  <si>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</si>
  <si>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</si>
  <si>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</si>
  <si>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</si>
  <si>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</si>
  <si>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</si>
  <si>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</si>
  <si>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</si>
  <si>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</si>
  <si>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</si>
  <si>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</si>
  <si>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</si>
  <si>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</si>
  <si>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</si>
  <si>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</si>
  <si>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</si>
  <si>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</si>
  <si>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</si>
  <si>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</si>
  <si>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</si>
  <si>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</si>
  <si>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</si>
  <si>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</si>
  <si>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</si>
  <si>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</si>
  <si>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</si>
  <si>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</si>
  <si>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</si>
  <si>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</si>
  <si>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</si>
  <si>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</si>
  <si>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</si>
  <si>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</si>
  <si>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</si>
  <si>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</si>
  <si>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</si>
  <si>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</si>
  <si>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</si>
  <si>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</si>
  <si>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</si>
  <si>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</si>
  <si>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</si>
  <si>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</si>
  <si>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</si>
  <si>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</si>
  <si>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</si>
  <si>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</si>
  <si>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</si>
  <si>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</si>
  <si>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</si>
  <si>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</si>
  <si>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</si>
  <si>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</si>
  <si>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</si>
  <si>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</si>
  <si>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</si>
  <si>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</si>
  <si>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</si>
  <si>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</si>
  <si>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</si>
  <si>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</si>
  <si>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</si>
  <si>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</si>
  <si>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</si>
  <si>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</si>
  <si>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</si>
  <si>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</si>
  <si>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</si>
  <si>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</si>
  <si>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</si>
  <si>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</si>
  <si>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</si>
  <si>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</si>
  <si>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</si>
  <si>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</si>
  <si>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</si>
  <si>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</si>
  <si>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</si>
  <si>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</si>
  <si>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</si>
  <si>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</si>
  <si>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</si>
  <si>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</si>
  <si>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</si>
  <si>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</si>
  <si>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</si>
  <si>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</si>
  <si>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</si>
  <si>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</si>
  <si>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</si>
  <si>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</si>
  <si>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</si>
  <si>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</si>
  <si>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</si>
  <si>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</si>
  <si>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</si>
  <si>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</si>
  <si>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</si>
  <si>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</si>
  <si>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</si>
  <si>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</si>
  <si>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</si>
  <si>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</si>
  <si>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</si>
  <si>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</si>
  <si>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</si>
  <si>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</si>
  <si>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</si>
  <si>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</si>
  <si>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</si>
  <si>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</si>
  <si>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</si>
  <si>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</si>
  <si>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</si>
  <si>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</si>
  <si>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</si>
  <si>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24094</t>
  </si>
  <si>
    <t>ROTSELAAR</t>
  </si>
  <si>
    <t>Cultuurgrond (ha)</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</si>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</sst>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152539.82247858157</c:v>
                </c:pt>
                <c:pt idx="1">
                  <c:v>75870.916662578675</c:v>
                </c:pt>
                <c:pt idx="2">
                  <c:v>922.17499999999995</c:v>
                </c:pt>
                <c:pt idx="3">
                  <c:v>4594.0270043790078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152539.82247858157</c:v>
                </c:pt>
                <c:pt idx="1">
                  <c:v>75870.916662578675</c:v>
                </c:pt>
                <c:pt idx="2">
                  <c:v>922.17499999999995</c:v>
                </c:pt>
                <c:pt idx="3">
                  <c:v>4594.0270043790078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32450.301427489379</c:v>
                </c:pt>
                <c:pt idx="1">
                  <c:v>15463.313381824519</c:v>
                </c:pt>
                <c:pt idx="2">
                  <c:v>194.02685285470864</c:v>
                </c:pt>
                <c:pt idx="3">
                  <c:v>1101.3241461583766</c:v>
                </c:pt>
                <c:pt idx="4">
                  <c:v>9871.8569394356073</c:v>
                </c:pt>
                <c:pt idx="5">
                  <c:v>41936.595717766315</c:v>
                </c:pt>
                <c:pt idx="6">
                  <c:v>450.97103991651107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32450.301427489379</c:v>
                </c:pt>
                <c:pt idx="1">
                  <c:v>15463.313381824519</c:v>
                </c:pt>
                <c:pt idx="2">
                  <c:v>194.02685285470864</c:v>
                </c:pt>
                <c:pt idx="3">
                  <c:v>1101.3241461583766</c:v>
                </c:pt>
                <c:pt idx="4">
                  <c:v>9871.8569394356073</c:v>
                </c:pt>
                <c:pt idx="5">
                  <c:v>41936.595717766315</c:v>
                </c:pt>
                <c:pt idx="6">
                  <c:v>450.97103991651107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24094</v>
      </c>
      <c r="B6" s="398"/>
      <c r="C6" s="399"/>
    </row>
    <row r="7" spans="1:7" s="396" customFormat="1" ht="15.75" customHeight="1">
      <c r="A7" s="400" t="str">
        <f>txtMunicipality</f>
        <v>ROTSELAAR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24094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6310</v>
      </c>
      <c r="C9" s="338">
        <v>6546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935</v>
      </c>
    </row>
    <row r="15" spans="1:6">
      <c r="A15" s="1269" t="s">
        <v>184</v>
      </c>
      <c r="B15" s="335">
        <v>1</v>
      </c>
    </row>
    <row r="16" spans="1:6">
      <c r="A16" s="1269" t="s">
        <v>6</v>
      </c>
      <c r="B16" s="335">
        <v>0</v>
      </c>
    </row>
    <row r="17" spans="1:6">
      <c r="A17" s="1269" t="s">
        <v>7</v>
      </c>
      <c r="B17" s="335">
        <v>57</v>
      </c>
    </row>
    <row r="18" spans="1:6">
      <c r="A18" s="1269" t="s">
        <v>8</v>
      </c>
      <c r="B18" s="335">
        <v>55</v>
      </c>
    </row>
    <row r="19" spans="1:6">
      <c r="A19" s="1269" t="s">
        <v>9</v>
      </c>
      <c r="B19" s="335">
        <v>50</v>
      </c>
    </row>
    <row r="20" spans="1:6">
      <c r="A20" s="1269" t="s">
        <v>10</v>
      </c>
      <c r="B20" s="335">
        <v>92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217</v>
      </c>
    </row>
    <row r="27" spans="1:6">
      <c r="A27" s="1269" t="s">
        <v>17</v>
      </c>
      <c r="B27" s="335">
        <v>83</v>
      </c>
    </row>
    <row r="28" spans="1:6" s="341" customFormat="1">
      <c r="A28" s="1270" t="s">
        <v>18</v>
      </c>
      <c r="B28" s="1270">
        <v>0</v>
      </c>
    </row>
    <row r="29" spans="1:6">
      <c r="A29" s="1270" t="s">
        <v>874</v>
      </c>
      <c r="B29" s="1270">
        <v>25</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122394.44655125</v>
      </c>
    </row>
    <row r="37" spans="1:6">
      <c r="A37" s="1269" t="s">
        <v>25</v>
      </c>
      <c r="B37" s="1269" t="s">
        <v>28</v>
      </c>
      <c r="C37" s="335">
        <v>0</v>
      </c>
      <c r="D37" s="335">
        <v>0</v>
      </c>
      <c r="E37" s="335">
        <v>0</v>
      </c>
      <c r="F37" s="335">
        <v>0</v>
      </c>
    </row>
    <row r="38" spans="1:6">
      <c r="A38" s="1269" t="s">
        <v>25</v>
      </c>
      <c r="B38" s="1269" t="s">
        <v>29</v>
      </c>
      <c r="C38" s="335">
        <v>0</v>
      </c>
      <c r="D38" s="335">
        <v>0</v>
      </c>
      <c r="E38" s="335">
        <v>3</v>
      </c>
      <c r="F38" s="335">
        <v>6193.4321447926004</v>
      </c>
    </row>
    <row r="39" spans="1:6">
      <c r="A39" s="1269" t="s">
        <v>30</v>
      </c>
      <c r="B39" s="1269" t="s">
        <v>31</v>
      </c>
      <c r="C39" s="335">
        <v>2578</v>
      </c>
      <c r="D39" s="335">
        <v>49896092.989532299</v>
      </c>
      <c r="E39" s="335">
        <v>6232</v>
      </c>
      <c r="F39" s="335">
        <v>27912234.7746558</v>
      </c>
    </row>
    <row r="40" spans="1:6">
      <c r="A40" s="1269" t="s">
        <v>30</v>
      </c>
      <c r="B40" s="1269" t="s">
        <v>29</v>
      </c>
      <c r="C40" s="335">
        <v>0</v>
      </c>
      <c r="D40" s="335">
        <v>0</v>
      </c>
      <c r="E40" s="335">
        <v>0</v>
      </c>
      <c r="F40" s="335">
        <v>0</v>
      </c>
    </row>
    <row r="41" spans="1:6">
      <c r="A41" s="1269" t="s">
        <v>32</v>
      </c>
      <c r="B41" s="1269" t="s">
        <v>33</v>
      </c>
      <c r="C41" s="335">
        <v>3</v>
      </c>
      <c r="D41" s="335">
        <v>77616.694143061395</v>
      </c>
      <c r="E41" s="335">
        <v>82</v>
      </c>
      <c r="F41" s="335">
        <v>1361171.77030361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25440.9729803751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15068.426035049801</v>
      </c>
    </row>
    <row r="48" spans="1:6">
      <c r="A48" s="1269" t="s">
        <v>32</v>
      </c>
      <c r="B48" s="1269" t="s">
        <v>29</v>
      </c>
      <c r="C48" s="335">
        <v>49</v>
      </c>
      <c r="D48" s="335">
        <v>34858615.038399898</v>
      </c>
      <c r="E48" s="335">
        <v>60</v>
      </c>
      <c r="F48" s="335">
        <v>2025092.82670628</v>
      </c>
    </row>
    <row r="49" spans="1:6">
      <c r="A49" s="1269" t="s">
        <v>32</v>
      </c>
      <c r="B49" s="1269" t="s">
        <v>40</v>
      </c>
      <c r="C49" s="335">
        <v>0</v>
      </c>
      <c r="D49" s="335">
        <v>0</v>
      </c>
      <c r="E49" s="335">
        <v>0</v>
      </c>
      <c r="F49" s="335">
        <v>0</v>
      </c>
    </row>
    <row r="50" spans="1:6">
      <c r="A50" s="1269" t="s">
        <v>32</v>
      </c>
      <c r="B50" s="1269" t="s">
        <v>41</v>
      </c>
      <c r="C50" s="335">
        <v>3</v>
      </c>
      <c r="D50" s="335">
        <v>2546515.2141335201</v>
      </c>
      <c r="E50" s="335">
        <v>3</v>
      </c>
      <c r="F50" s="335">
        <v>2932496.8696963</v>
      </c>
    </row>
    <row r="51" spans="1:6">
      <c r="A51" s="1269" t="s">
        <v>42</v>
      </c>
      <c r="B51" s="1269" t="s">
        <v>43</v>
      </c>
      <c r="C51" s="335">
        <v>0</v>
      </c>
      <c r="D51" s="335">
        <v>0</v>
      </c>
      <c r="E51" s="335">
        <v>18</v>
      </c>
      <c r="F51" s="335">
        <v>520931.71898456902</v>
      </c>
    </row>
    <row r="52" spans="1:6">
      <c r="A52" s="1269" t="s">
        <v>42</v>
      </c>
      <c r="B52" s="1269" t="s">
        <v>29</v>
      </c>
      <c r="C52" s="335">
        <v>3</v>
      </c>
      <c r="D52" s="335">
        <v>92944.981947113294</v>
      </c>
      <c r="E52" s="335">
        <v>15</v>
      </c>
      <c r="F52" s="335">
        <v>156560.16188349799</v>
      </c>
    </row>
    <row r="53" spans="1:6">
      <c r="A53" s="1269" t="s">
        <v>44</v>
      </c>
      <c r="B53" s="1269" t="s">
        <v>45</v>
      </c>
      <c r="C53" s="335">
        <v>76</v>
      </c>
      <c r="D53" s="335">
        <v>1535208.08318155</v>
      </c>
      <c r="E53" s="335">
        <v>214</v>
      </c>
      <c r="F53" s="335">
        <v>997426.57652037998</v>
      </c>
    </row>
    <row r="54" spans="1:6">
      <c r="A54" s="1269" t="s">
        <v>46</v>
      </c>
      <c r="B54" s="1269" t="s">
        <v>47</v>
      </c>
      <c r="C54" s="335">
        <v>0</v>
      </c>
      <c r="D54" s="335">
        <v>0</v>
      </c>
      <c r="E54" s="335">
        <v>1</v>
      </c>
      <c r="F54" s="335">
        <v>922175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369237.033772795</v>
      </c>
      <c r="E57" s="335">
        <v>57</v>
      </c>
      <c r="F57" s="335">
        <v>1817217.44957717</v>
      </c>
    </row>
    <row r="58" spans="1:6">
      <c r="A58" s="1269" t="s">
        <v>49</v>
      </c>
      <c r="B58" s="1269" t="s">
        <v>51</v>
      </c>
      <c r="C58" s="335">
        <v>11</v>
      </c>
      <c r="D58" s="335">
        <v>296462.36919127998</v>
      </c>
      <c r="E58" s="335">
        <v>16</v>
      </c>
      <c r="F58" s="335">
        <v>157390.521480847</v>
      </c>
    </row>
    <row r="59" spans="1:6">
      <c r="A59" s="1269" t="s">
        <v>49</v>
      </c>
      <c r="B59" s="1269" t="s">
        <v>52</v>
      </c>
      <c r="C59" s="335">
        <v>7</v>
      </c>
      <c r="D59" s="335">
        <v>317612.30680123199</v>
      </c>
      <c r="E59" s="335">
        <v>34</v>
      </c>
      <c r="F59" s="335">
        <v>1480773.2091552799</v>
      </c>
    </row>
    <row r="60" spans="1:6">
      <c r="A60" s="1269" t="s">
        <v>49</v>
      </c>
      <c r="B60" s="1269" t="s">
        <v>53</v>
      </c>
      <c r="C60" s="335">
        <v>30</v>
      </c>
      <c r="D60" s="335">
        <v>1317512.2432331</v>
      </c>
      <c r="E60" s="335">
        <v>50</v>
      </c>
      <c r="F60" s="335">
        <v>1905566.42188615</v>
      </c>
    </row>
    <row r="61" spans="1:6">
      <c r="A61" s="1269" t="s">
        <v>49</v>
      </c>
      <c r="B61" s="1269" t="s">
        <v>54</v>
      </c>
      <c r="C61" s="335">
        <v>34</v>
      </c>
      <c r="D61" s="335">
        <v>2486927.5065383199</v>
      </c>
      <c r="E61" s="335">
        <v>224</v>
      </c>
      <c r="F61" s="335">
        <v>2057133.1048739499</v>
      </c>
    </row>
    <row r="62" spans="1:6">
      <c r="A62" s="1269" t="s">
        <v>49</v>
      </c>
      <c r="B62" s="1269" t="s">
        <v>55</v>
      </c>
      <c r="C62" s="335">
        <v>0</v>
      </c>
      <c r="D62" s="335">
        <v>0</v>
      </c>
      <c r="E62" s="335">
        <v>7</v>
      </c>
      <c r="F62" s="335">
        <v>37797.9925132547</v>
      </c>
    </row>
    <row r="63" spans="1:6">
      <c r="A63" s="1269" t="s">
        <v>49</v>
      </c>
      <c r="B63" s="1269" t="s">
        <v>29</v>
      </c>
      <c r="C63" s="335">
        <v>158</v>
      </c>
      <c r="D63" s="335">
        <v>8669580.7523476109</v>
      </c>
      <c r="E63" s="335">
        <v>238</v>
      </c>
      <c r="F63" s="335">
        <v>41149874.573171698</v>
      </c>
    </row>
    <row r="64" spans="1:6">
      <c r="A64" s="1269" t="s">
        <v>56</v>
      </c>
      <c r="B64" s="1269" t="s">
        <v>57</v>
      </c>
      <c r="C64" s="335">
        <v>0</v>
      </c>
      <c r="D64" s="335">
        <v>0</v>
      </c>
      <c r="E64" s="335">
        <v>0</v>
      </c>
      <c r="F64" s="335">
        <v>0</v>
      </c>
    </row>
    <row r="65" spans="1:6">
      <c r="A65" s="1269" t="s">
        <v>56</v>
      </c>
      <c r="B65" s="1269" t="s">
        <v>29</v>
      </c>
      <c r="C65" s="335">
        <v>1</v>
      </c>
      <c r="D65" s="335">
        <v>40881.228600132003</v>
      </c>
      <c r="E65" s="335">
        <v>4</v>
      </c>
      <c r="F65" s="335">
        <v>81383.864513211694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80539.336178411599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82866596</v>
      </c>
      <c r="E73" s="335">
        <v>87671920.168188974</v>
      </c>
    </row>
    <row r="74" spans="1:6">
      <c r="A74" s="1269" t="s">
        <v>64</v>
      </c>
      <c r="B74" s="1269" t="s">
        <v>727</v>
      </c>
      <c r="C74" s="1269" t="s">
        <v>728</v>
      </c>
      <c r="D74" s="335">
        <v>5203566.9096396463</v>
      </c>
      <c r="E74" s="335">
        <v>5564533.540077148</v>
      </c>
    </row>
    <row r="75" spans="1:6">
      <c r="A75" s="1269" t="s">
        <v>65</v>
      </c>
      <c r="B75" s="1269" t="s">
        <v>725</v>
      </c>
      <c r="C75" s="1269" t="s">
        <v>729</v>
      </c>
      <c r="D75" s="335">
        <v>23250045</v>
      </c>
      <c r="E75" s="335">
        <v>24616902.848354887</v>
      </c>
    </row>
    <row r="76" spans="1:6">
      <c r="A76" s="1269" t="s">
        <v>65</v>
      </c>
      <c r="B76" s="1269" t="s">
        <v>727</v>
      </c>
      <c r="C76" s="1269" t="s">
        <v>730</v>
      </c>
      <c r="D76" s="335">
        <v>229630.90963964662</v>
      </c>
      <c r="E76" s="335">
        <v>258202.89011920081</v>
      </c>
    </row>
    <row r="77" spans="1:6">
      <c r="A77" s="1269" t="s">
        <v>66</v>
      </c>
      <c r="B77" s="1269" t="s">
        <v>725</v>
      </c>
      <c r="C77" s="1269" t="s">
        <v>731</v>
      </c>
      <c r="D77" s="335">
        <v>85450527</v>
      </c>
      <c r="E77" s="335">
        <v>95961295.234450281</v>
      </c>
    </row>
    <row r="78" spans="1:6">
      <c r="A78" s="1265" t="s">
        <v>66</v>
      </c>
      <c r="B78" s="1265" t="s">
        <v>727</v>
      </c>
      <c r="C78" s="1265" t="s">
        <v>732</v>
      </c>
      <c r="D78" s="1265">
        <v>9057973</v>
      </c>
      <c r="E78" s="1265">
        <v>10256196.0723926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466066.18072070676</v>
      </c>
      <c r="C83" s="335">
        <v>461983.75910724106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170.3964125560538</v>
      </c>
    </row>
    <row r="90" spans="1:6">
      <c r="A90" s="1269" t="s">
        <v>562</v>
      </c>
      <c r="B90" s="1282">
        <v>0</v>
      </c>
    </row>
    <row r="91" spans="1:6">
      <c r="A91" s="1269" t="s">
        <v>68</v>
      </c>
      <c r="B91" s="335">
        <v>3193.081615481909</v>
      </c>
    </row>
    <row r="92" spans="1:6">
      <c r="A92" s="1265" t="s">
        <v>69</v>
      </c>
      <c r="B92" s="338">
        <v>798.63816150225875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1003</v>
      </c>
    </row>
    <row r="98" spans="1:6">
      <c r="A98" s="1269" t="s">
        <v>72</v>
      </c>
      <c r="B98" s="335">
        <v>4</v>
      </c>
    </row>
    <row r="99" spans="1:6">
      <c r="A99" s="1269" t="s">
        <v>73</v>
      </c>
      <c r="B99" s="335">
        <v>252</v>
      </c>
    </row>
    <row r="100" spans="1:6">
      <c r="A100" s="1269" t="s">
        <v>74</v>
      </c>
      <c r="B100" s="335">
        <v>479</v>
      </c>
    </row>
    <row r="101" spans="1:6">
      <c r="A101" s="1269" t="s">
        <v>75</v>
      </c>
      <c r="B101" s="335">
        <v>73</v>
      </c>
    </row>
    <row r="102" spans="1:6">
      <c r="A102" s="1269" t="s">
        <v>76</v>
      </c>
      <c r="B102" s="335">
        <v>50</v>
      </c>
    </row>
    <row r="103" spans="1:6">
      <c r="A103" s="1269" t="s">
        <v>77</v>
      </c>
      <c r="B103" s="335">
        <v>111</v>
      </c>
    </row>
    <row r="104" spans="1:6">
      <c r="A104" s="1269" t="s">
        <v>78</v>
      </c>
      <c r="B104" s="335">
        <v>3569</v>
      </c>
    </row>
    <row r="105" spans="1:6">
      <c r="A105" s="1265" t="s">
        <v>79</v>
      </c>
      <c r="B105" s="1265">
        <v>16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163</v>
      </c>
    </row>
    <row r="130" spans="1:6">
      <c r="A130" s="1269" t="s">
        <v>295</v>
      </c>
      <c r="B130" s="335">
        <v>1</v>
      </c>
    </row>
    <row r="131" spans="1:6">
      <c r="A131" s="1269" t="s">
        <v>296</v>
      </c>
      <c r="B131" s="335">
        <v>0</v>
      </c>
    </row>
    <row r="132" spans="1:6">
      <c r="A132" s="1265" t="s">
        <v>297</v>
      </c>
      <c r="B132" s="338">
        <v>15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87725.467732681354</v>
      </c>
      <c r="C3" s="43" t="s">
        <v>170</v>
      </c>
      <c r="D3" s="43"/>
      <c r="E3" s="156"/>
      <c r="F3" s="43"/>
      <c r="G3" s="43"/>
      <c r="H3" s="43"/>
      <c r="I3" s="43"/>
      <c r="J3" s="43"/>
      <c r="K3" s="96"/>
    </row>
    <row r="4" spans="1:11">
      <c r="A4" s="366" t="s">
        <v>171</v>
      </c>
      <c r="B4" s="49">
        <f>IF(ISERROR('SEAP template'!B69),0,'SEAP template'!B69)</f>
        <v>4207.116189540222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0.21040133689886262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50.625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922.17499999999995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922.17499999999995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0.21040133689886262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194.02685285470864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27912.234774655801</v>
      </c>
      <c r="C5" s="17">
        <f>IF(ISERROR('Eigen informatie GS &amp; warmtenet'!B57),0,'Eigen informatie GS &amp; warmtenet'!B57)</f>
        <v>0</v>
      </c>
      <c r="D5" s="30">
        <f>(SUM(HH_hh_gas_kWh,HH_rest_gas_kWh)/1000)*0.902</f>
        <v>45006.275876558131</v>
      </c>
      <c r="E5" s="17">
        <f>B46*B57</f>
        <v>10080.938691288708</v>
      </c>
      <c r="F5" s="17">
        <f>B51*B62</f>
        <v>54404.72084028097</v>
      </c>
      <c r="G5" s="18"/>
      <c r="H5" s="17"/>
      <c r="I5" s="17"/>
      <c r="J5" s="17">
        <f>B50*B61+C50*C61</f>
        <v>0</v>
      </c>
      <c r="K5" s="17"/>
      <c r="L5" s="17"/>
      <c r="M5" s="17"/>
      <c r="N5" s="17">
        <f>B48*B59+C48*C59</f>
        <v>10947.887346982692</v>
      </c>
      <c r="O5" s="17">
        <f>B69*B70*B71</f>
        <v>289.2166666666667</v>
      </c>
      <c r="P5" s="17">
        <f>B77*B78*B79/1000-B77*B78*B79/1000/B80</f>
        <v>705.4666666666667</v>
      </c>
    </row>
    <row r="6" spans="1:16">
      <c r="A6" s="16" t="s">
        <v>634</v>
      </c>
      <c r="B6" s="831">
        <f>kWh_PV_kleiner_dan_10kW</f>
        <v>3193.081615481909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31105.316390137708</v>
      </c>
      <c r="C8" s="21">
        <f>C5</f>
        <v>0</v>
      </c>
      <c r="D8" s="21">
        <f>D5</f>
        <v>45006.275876558131</v>
      </c>
      <c r="E8" s="21">
        <f>E5</f>
        <v>10080.938691288708</v>
      </c>
      <c r="F8" s="21">
        <f>F5</f>
        <v>54404.72084028097</v>
      </c>
      <c r="G8" s="21"/>
      <c r="H8" s="21"/>
      <c r="I8" s="21"/>
      <c r="J8" s="21">
        <f>J5</f>
        <v>0</v>
      </c>
      <c r="K8" s="21"/>
      <c r="L8" s="21">
        <f>L5</f>
        <v>0</v>
      </c>
      <c r="M8" s="21">
        <f>M5</f>
        <v>0</v>
      </c>
      <c r="N8" s="21">
        <f>N5</f>
        <v>10947.887346982692</v>
      </c>
      <c r="O8" s="21">
        <f>O5</f>
        <v>289.2166666666667</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0.21040133689886262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6544.6001531470774</v>
      </c>
      <c r="C12" s="23">
        <f ca="1">C10*C8</f>
        <v>0</v>
      </c>
      <c r="D12" s="23">
        <f>D8*D10</f>
        <v>9091.2677270647437</v>
      </c>
      <c r="E12" s="23">
        <f>E10*E8</f>
        <v>2288.3730829225365</v>
      </c>
      <c r="F12" s="23">
        <f>F10*F8</f>
        <v>14526.06046435502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1003</v>
      </c>
      <c r="C18" s="168" t="s">
        <v>111</v>
      </c>
      <c r="D18" s="230"/>
      <c r="E18" s="15"/>
    </row>
    <row r="19" spans="1:7">
      <c r="A19" s="173" t="s">
        <v>72</v>
      </c>
      <c r="B19" s="37">
        <f>aantalw2001_ander</f>
        <v>4</v>
      </c>
      <c r="C19" s="168" t="s">
        <v>111</v>
      </c>
      <c r="D19" s="231"/>
      <c r="E19" s="15"/>
    </row>
    <row r="20" spans="1:7">
      <c r="A20" s="173" t="s">
        <v>73</v>
      </c>
      <c r="B20" s="37">
        <f>aantalw2001_propaan</f>
        <v>252</v>
      </c>
      <c r="C20" s="169">
        <f>IF(ISERROR(B20/SUM($B$20,$B$21,$B$22)*100),0,B20/SUM($B$20,$B$21,$B$22)*100)</f>
        <v>31.343283582089555</v>
      </c>
      <c r="D20" s="231"/>
      <c r="E20" s="15"/>
    </row>
    <row r="21" spans="1:7">
      <c r="A21" s="173" t="s">
        <v>74</v>
      </c>
      <c r="B21" s="37">
        <f>aantalw2001_elektriciteit</f>
        <v>479</v>
      </c>
      <c r="C21" s="169">
        <f>IF(ISERROR(B21/SUM($B$20,$B$21,$B$22)*100),0,B21/SUM($B$20,$B$21,$B$22)*100)</f>
        <v>59.5771144278607</v>
      </c>
      <c r="D21" s="231"/>
      <c r="E21" s="15"/>
    </row>
    <row r="22" spans="1:7">
      <c r="A22" s="173" t="s">
        <v>75</v>
      </c>
      <c r="B22" s="37">
        <f>aantalw2001_hout</f>
        <v>73</v>
      </c>
      <c r="C22" s="169">
        <f>IF(ISERROR(B22/SUM($B$20,$B$21,$B$22)*100),0,B22/SUM($B$20,$B$21,$B$22)*100)</f>
        <v>9.0796019900497509</v>
      </c>
      <c r="D22" s="231"/>
      <c r="E22" s="15"/>
    </row>
    <row r="23" spans="1:7">
      <c r="A23" s="173" t="s">
        <v>76</v>
      </c>
      <c r="B23" s="37">
        <f>aantalw2001_niet_gespec</f>
        <v>50</v>
      </c>
      <c r="C23" s="168" t="s">
        <v>111</v>
      </c>
      <c r="D23" s="230"/>
      <c r="E23" s="15"/>
    </row>
    <row r="24" spans="1:7">
      <c r="A24" s="173" t="s">
        <v>77</v>
      </c>
      <c r="B24" s="37">
        <f>aantalw2001_steenkool</f>
        <v>111</v>
      </c>
      <c r="C24" s="168" t="s">
        <v>111</v>
      </c>
      <c r="D24" s="231"/>
      <c r="E24" s="15"/>
    </row>
    <row r="25" spans="1:7">
      <c r="A25" s="173" t="s">
        <v>78</v>
      </c>
      <c r="B25" s="37">
        <f>aantalw2001_stookolie</f>
        <v>3569</v>
      </c>
      <c r="C25" s="168" t="s">
        <v>111</v>
      </c>
      <c r="D25" s="230"/>
      <c r="E25" s="52"/>
    </row>
    <row r="26" spans="1:7">
      <c r="A26" s="173" t="s">
        <v>79</v>
      </c>
      <c r="B26" s="37">
        <f>aantalw2001_WP</f>
        <v>16</v>
      </c>
      <c r="C26" s="168" t="s">
        <v>111</v>
      </c>
      <c r="D26" s="230"/>
      <c r="E26" s="15"/>
    </row>
    <row r="27" spans="1:7" s="15" customFormat="1">
      <c r="A27" s="173"/>
      <c r="B27" s="29"/>
      <c r="C27" s="36"/>
      <c r="D27" s="230"/>
    </row>
    <row r="28" spans="1:7" s="15" customFormat="1">
      <c r="A28" s="232" t="s">
        <v>745</v>
      </c>
      <c r="B28" s="37">
        <f>aantalHuishoudens2011</f>
        <v>6310</v>
      </c>
      <c r="C28" s="36"/>
      <c r="D28" s="230"/>
    </row>
    <row r="29" spans="1:7" s="15" customFormat="1">
      <c r="A29" s="232" t="s">
        <v>746</v>
      </c>
      <c r="B29" s="37">
        <f>SUM(HH_hh_gas_aantal,HH_rest_gas_aantal)</f>
        <v>2578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2578</v>
      </c>
      <c r="C32" s="169">
        <f>IF(ISERROR(B32/SUM($B$32,$B$34,$B$35,$B$36,$B$38,$B$39)*100),0,B32/SUM($B$32,$B$34,$B$35,$B$36,$B$38,$B$39)*100)</f>
        <v>41.096763908815554</v>
      </c>
      <c r="D32" s="235"/>
      <c r="G32" s="15"/>
    </row>
    <row r="33" spans="1:7">
      <c r="A33" s="173" t="s">
        <v>72</v>
      </c>
      <c r="B33" s="34" t="s">
        <v>111</v>
      </c>
      <c r="C33" s="169"/>
      <c r="D33" s="235"/>
      <c r="G33" s="15"/>
    </row>
    <row r="34" spans="1:7">
      <c r="A34" s="173" t="s">
        <v>73</v>
      </c>
      <c r="B34" s="33">
        <f>IF((($B$28-$B$32-$B$39-$B$77-$B$38)*C20/100)&lt;0,0,($B$28-$B$32-$B$39-$B$77-$B$38)*C20/100)</f>
        <v>483.78358208955228</v>
      </c>
      <c r="C34" s="169">
        <f>IF(ISERROR(B34/SUM($B$32,$B$34,$B$35,$B$36,$B$38,$B$39)*100),0,B34/SUM($B$32,$B$34,$B$35,$B$36,$B$38,$B$39)*100)</f>
        <v>7.7121565772286331</v>
      </c>
      <c r="D34" s="235"/>
      <c r="G34" s="15"/>
    </row>
    <row r="35" spans="1:7">
      <c r="A35" s="173" t="s">
        <v>74</v>
      </c>
      <c r="B35" s="33">
        <f>IF((($B$28-$B$32-$B$39-$B$77-$B$38)*C21/100)&lt;0,0,($B$28-$B$32-$B$39-$B$77-$B$38)*C21/100)</f>
        <v>919.57276119402991</v>
      </c>
      <c r="C35" s="169">
        <f>IF(ISERROR(B35/SUM($B$32,$B$34,$B$35,$B$36,$B$38,$B$39)*100),0,B35/SUM($B$32,$B$34,$B$35,$B$36,$B$38,$B$39)*100)</f>
        <v>14.659218255922681</v>
      </c>
      <c r="D35" s="235"/>
      <c r="G35" s="15"/>
    </row>
    <row r="36" spans="1:7">
      <c r="A36" s="173" t="s">
        <v>75</v>
      </c>
      <c r="B36" s="33">
        <f>IF((($B$28-$B$32-$B$39-$B$77-$B$38)*C22/100)&lt;0,0,($B$28-$B$32-$B$39-$B$77-$B$38)*C22/100)</f>
        <v>140.14365671641789</v>
      </c>
      <c r="C36" s="169">
        <f>IF(ISERROR(B36/SUM($B$32,$B$34,$B$35,$B$36,$B$38,$B$39)*100),0,B36/SUM($B$32,$B$34,$B$35,$B$36,$B$38,$B$39)*100)</f>
        <v>2.2340771037209928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2151.5</v>
      </c>
      <c r="C39" s="169">
        <f>IF(ISERROR(B39/SUM($B$32,$B$34,$B$35,$B$36,$B$38,$B$39)*100),0,B39/SUM($B$32,$B$34,$B$35,$B$36,$B$38,$B$39)*100)</f>
        <v>34.297784154312126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2578</v>
      </c>
      <c r="C44" s="34" t="s">
        <v>111</v>
      </c>
      <c r="D44" s="176"/>
    </row>
    <row r="45" spans="1:7">
      <c r="A45" s="173" t="s">
        <v>72</v>
      </c>
      <c r="B45" s="33" t="str">
        <f t="shared" si="0"/>
        <v>-</v>
      </c>
      <c r="C45" s="34" t="s">
        <v>111</v>
      </c>
      <c r="D45" s="176"/>
    </row>
    <row r="46" spans="1:7">
      <c r="A46" s="173" t="s">
        <v>73</v>
      </c>
      <c r="B46" s="33">
        <f t="shared" si="0"/>
        <v>483.78358208955228</v>
      </c>
      <c r="C46" s="34" t="s">
        <v>111</v>
      </c>
      <c r="D46" s="176"/>
    </row>
    <row r="47" spans="1:7">
      <c r="A47" s="173" t="s">
        <v>74</v>
      </c>
      <c r="B47" s="33">
        <f t="shared" si="0"/>
        <v>919.57276119402991</v>
      </c>
      <c r="C47" s="34" t="s">
        <v>111</v>
      </c>
      <c r="D47" s="176"/>
    </row>
    <row r="48" spans="1:7">
      <c r="A48" s="173" t="s">
        <v>75</v>
      </c>
      <c r="B48" s="33">
        <f t="shared" si="0"/>
        <v>140.14365671641789</v>
      </c>
      <c r="C48" s="33">
        <f>B48*10</f>
        <v>1401.436567164179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48605.753272658352</v>
      </c>
      <c r="C5" s="17">
        <f>IF(ISERROR('Eigen informatie GS &amp; warmtenet'!B58),0,'Eigen informatie GS &amp; warmtenet'!B58)</f>
        <v>0</v>
      </c>
      <c r="D5" s="30">
        <f>SUM(D6:D12)</f>
        <v>12138.513655119674</v>
      </c>
      <c r="E5" s="17">
        <f>SUM(E6:E12)</f>
        <v>644.36425357103769</v>
      </c>
      <c r="F5" s="17">
        <f>SUM(F6:F12)</f>
        <v>9845.9902929801046</v>
      </c>
      <c r="G5" s="18"/>
      <c r="H5" s="17"/>
      <c r="I5" s="17"/>
      <c r="J5" s="17">
        <f>SUM(J6:J12)</f>
        <v>0</v>
      </c>
      <c r="K5" s="17"/>
      <c r="L5" s="17"/>
      <c r="M5" s="17"/>
      <c r="N5" s="17">
        <f>SUM(N6:N12)</f>
        <v>4539.1068549161719</v>
      </c>
      <c r="O5" s="17">
        <f>B38*B39*B40</f>
        <v>1.5633333333333335</v>
      </c>
      <c r="P5" s="17">
        <f>B46*B47*B48/1000-B46*B47*B48/1000/B49</f>
        <v>0</v>
      </c>
      <c r="R5" s="32"/>
    </row>
    <row r="6" spans="1:18">
      <c r="A6" s="32" t="s">
        <v>54</v>
      </c>
      <c r="B6" s="37">
        <f>B26</f>
        <v>2057.1331048739498</v>
      </c>
      <c r="C6" s="33"/>
      <c r="D6" s="37">
        <f>IF(ISERROR(TER_kantoor_gas_kWh/1000),0,TER_kantoor_gas_kWh/1000)*0.902</f>
        <v>2243.2086108975645</v>
      </c>
      <c r="E6" s="33">
        <f>$C$26*'E Balans VL '!I12/100/3.6*1000000</f>
        <v>7.9923976328891273</v>
      </c>
      <c r="F6" s="33">
        <f>$C$26*('E Balans VL '!L12+'E Balans VL '!N12)/100/3.6*1000000</f>
        <v>312.87122683243524</v>
      </c>
      <c r="G6" s="34"/>
      <c r="H6" s="33"/>
      <c r="I6" s="33"/>
      <c r="J6" s="33">
        <f>$C$26*('E Balans VL '!D12+'E Balans VL '!E12)/100/3.6*1000000</f>
        <v>0</v>
      </c>
      <c r="K6" s="33"/>
      <c r="L6" s="33"/>
      <c r="M6" s="33"/>
      <c r="N6" s="33">
        <f>$C$26*'E Balans VL '!Y12/100/3.6*1000000</f>
        <v>1.1337267792624839</v>
      </c>
      <c r="O6" s="33"/>
      <c r="P6" s="33"/>
      <c r="R6" s="32"/>
    </row>
    <row r="7" spans="1:18">
      <c r="A7" s="32" t="s">
        <v>53</v>
      </c>
      <c r="B7" s="37">
        <f t="shared" ref="B7:B12" si="0">B27</f>
        <v>1905.56642188615</v>
      </c>
      <c r="C7" s="33"/>
      <c r="D7" s="37">
        <f>IF(ISERROR(TER_horeca_gas_kWh/1000),0,TER_horeca_gas_kWh/1000)*0.902</f>
        <v>1188.3960433962561</v>
      </c>
      <c r="E7" s="33">
        <f>$C$27*'E Balans VL '!I9/100/3.6*1000000</f>
        <v>107.34106600889879</v>
      </c>
      <c r="F7" s="33">
        <f>$C$27*('E Balans VL '!L9+'E Balans VL '!N9)/100/3.6*1000000</f>
        <v>549.45127213919648</v>
      </c>
      <c r="G7" s="34"/>
      <c r="H7" s="33"/>
      <c r="I7" s="33"/>
      <c r="J7" s="33">
        <f>$C$27*('E Balans VL '!D9+'E Balans VL '!E9)/100/3.6*1000000</f>
        <v>0</v>
      </c>
      <c r="K7" s="33"/>
      <c r="L7" s="33"/>
      <c r="M7" s="33"/>
      <c r="N7" s="33">
        <f>$C$27*'E Balans VL '!Y9/100/3.6*1000000</f>
        <v>0.52611698682796515</v>
      </c>
      <c r="O7" s="33"/>
      <c r="P7" s="33"/>
      <c r="R7" s="32"/>
    </row>
    <row r="8" spans="1:18">
      <c r="A8" s="6" t="s">
        <v>52</v>
      </c>
      <c r="B8" s="37">
        <f t="shared" si="0"/>
        <v>1480.7732091552798</v>
      </c>
      <c r="C8" s="33"/>
      <c r="D8" s="37">
        <f>IF(ISERROR(TER_handel_gas_kWh/1000),0,TER_handel_gas_kWh/1000)*0.902</f>
        <v>286.48630073471122</v>
      </c>
      <c r="E8" s="33">
        <f>$C$28*'E Balans VL '!I13/100/3.6*1000000</f>
        <v>21.342965707683952</v>
      </c>
      <c r="F8" s="33">
        <f>$C$28*('E Balans VL '!L13+'E Balans VL '!N13)/100/3.6*1000000</f>
        <v>257.24479131131312</v>
      </c>
      <c r="G8" s="34"/>
      <c r="H8" s="33"/>
      <c r="I8" s="33"/>
      <c r="J8" s="33">
        <f>$C$28*('E Balans VL '!D13+'E Balans VL '!E13)/100/3.6*1000000</f>
        <v>0</v>
      </c>
      <c r="K8" s="33"/>
      <c r="L8" s="33"/>
      <c r="M8" s="33"/>
      <c r="N8" s="33">
        <f>$C$28*'E Balans VL '!Y13/100/3.6*1000000</f>
        <v>4.4365613776986539</v>
      </c>
      <c r="O8" s="33"/>
      <c r="P8" s="33"/>
      <c r="R8" s="32"/>
    </row>
    <row r="9" spans="1:18">
      <c r="A9" s="32" t="s">
        <v>51</v>
      </c>
      <c r="B9" s="37">
        <f t="shared" si="0"/>
        <v>157.39052148084701</v>
      </c>
      <c r="C9" s="33"/>
      <c r="D9" s="37">
        <f>IF(ISERROR(TER_gezond_gas_kWh/1000),0,TER_gezond_gas_kWh/1000)*0.902</f>
        <v>267.40905701053458</v>
      </c>
      <c r="E9" s="33">
        <f>$C$29*'E Balans VL '!I10/100/3.6*1000000</f>
        <v>0.16813387106659569</v>
      </c>
      <c r="F9" s="33">
        <f>$C$29*('E Balans VL '!L10+'E Balans VL '!N10)/100/3.6*1000000</f>
        <v>25.675177330967582</v>
      </c>
      <c r="G9" s="34"/>
      <c r="H9" s="33"/>
      <c r="I9" s="33"/>
      <c r="J9" s="33">
        <f>$C$29*('E Balans VL '!D10+'E Balans VL '!E10)/100/3.6*1000000</f>
        <v>0</v>
      </c>
      <c r="K9" s="33"/>
      <c r="L9" s="33"/>
      <c r="M9" s="33"/>
      <c r="N9" s="33">
        <f>$C$29*'E Balans VL '!Y10/100/3.6*1000000</f>
        <v>1.6202456134054051</v>
      </c>
      <c r="O9" s="33"/>
      <c r="P9" s="33"/>
      <c r="R9" s="32"/>
    </row>
    <row r="10" spans="1:18">
      <c r="A10" s="32" t="s">
        <v>50</v>
      </c>
      <c r="B10" s="37">
        <f t="shared" si="0"/>
        <v>1817.2174495771699</v>
      </c>
      <c r="C10" s="33"/>
      <c r="D10" s="37">
        <f>IF(ISERROR(TER_ander_gas_kWh/1000),0,TER_ander_gas_kWh/1000)*0.902</f>
        <v>333.0518044630611</v>
      </c>
      <c r="E10" s="33">
        <f>$C$30*'E Balans VL '!I14/100/3.6*1000000</f>
        <v>8.3571066313117139</v>
      </c>
      <c r="F10" s="33">
        <f>$C$30*('E Balans VL '!L14+'E Balans VL '!N14)/100/3.6*1000000</f>
        <v>544.67738982847857</v>
      </c>
      <c r="G10" s="34"/>
      <c r="H10" s="33"/>
      <c r="I10" s="33"/>
      <c r="J10" s="33">
        <f>$C$30*('E Balans VL '!D14+'E Balans VL '!E14)/100/3.6*1000000</f>
        <v>0</v>
      </c>
      <c r="K10" s="33"/>
      <c r="L10" s="33"/>
      <c r="M10" s="33"/>
      <c r="N10" s="33">
        <f>$C$30*'E Balans VL '!Y14/100/3.6*1000000</f>
        <v>1264.9033008264255</v>
      </c>
      <c r="O10" s="33"/>
      <c r="P10" s="33"/>
      <c r="R10" s="32"/>
    </row>
    <row r="11" spans="1:18">
      <c r="A11" s="32" t="s">
        <v>55</v>
      </c>
      <c r="B11" s="37">
        <f t="shared" si="0"/>
        <v>37.797992513254698</v>
      </c>
      <c r="C11" s="33"/>
      <c r="D11" s="37">
        <f>IF(ISERROR(TER_onderwijs_gas_kWh/1000),0,TER_onderwijs_gas_kWh/1000)*0.902</f>
        <v>0</v>
      </c>
      <c r="E11" s="33">
        <f>$C$31*'E Balans VL '!I11/100/3.6*1000000</f>
        <v>3.5062608823858442E-2</v>
      </c>
      <c r="F11" s="33">
        <f>$C$31*('E Balans VL '!L11+'E Balans VL '!N11)/100/3.6*1000000</f>
        <v>13.277566045506447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41149.874573171699</v>
      </c>
      <c r="C12" s="33"/>
      <c r="D12" s="37">
        <f>IF(ISERROR(TER_rest_gas_kWh/1000),0,TER_rest_gas_kWh/1000)*0.902</f>
        <v>7819.9618386175453</v>
      </c>
      <c r="E12" s="33">
        <f>$C$32*'E Balans VL '!I8/100/3.6*1000000</f>
        <v>499.12752111036366</v>
      </c>
      <c r="F12" s="33">
        <f>$C$32*('E Balans VL '!L8+'E Balans VL '!N8)/100/3.6*1000000</f>
        <v>8142.7928694922066</v>
      </c>
      <c r="G12" s="34"/>
      <c r="H12" s="33"/>
      <c r="I12" s="33"/>
      <c r="J12" s="33">
        <f>$C$32*('E Balans VL '!D8+'E Balans VL '!E8)/100/3.6*1000000</f>
        <v>0</v>
      </c>
      <c r="K12" s="33"/>
      <c r="L12" s="33"/>
      <c r="M12" s="33"/>
      <c r="N12" s="33">
        <f>$C$32*'E Balans VL '!Y8/100/3.6*1000000</f>
        <v>3266.4869033325517</v>
      </c>
      <c r="O12" s="33"/>
      <c r="P12" s="33"/>
      <c r="R12" s="32"/>
    </row>
    <row r="13" spans="1:18">
      <c r="A13" s="16" t="s">
        <v>497</v>
      </c>
      <c r="B13" s="249">
        <f ca="1">'lokale energieproductie'!N90+'lokale energieproductie'!N59</f>
        <v>45</v>
      </c>
      <c r="C13" s="249">
        <f ca="1">'lokale energieproductie'!O90+'lokale energieproductie'!O59</f>
        <v>50.625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-112.5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48650.753272658352</v>
      </c>
      <c r="C16" s="21">
        <f t="shared" ca="1" si="1"/>
        <v>50.625</v>
      </c>
      <c r="D16" s="21">
        <f t="shared" ca="1" si="1"/>
        <v>12138.513655119674</v>
      </c>
      <c r="E16" s="21">
        <f t="shared" si="1"/>
        <v>644.36425357103769</v>
      </c>
      <c r="F16" s="21">
        <f t="shared" ca="1" si="1"/>
        <v>9845.9902929801046</v>
      </c>
      <c r="G16" s="21">
        <f t="shared" si="1"/>
        <v>0</v>
      </c>
      <c r="H16" s="21">
        <f t="shared" si="1"/>
        <v>0</v>
      </c>
      <c r="I16" s="21">
        <f t="shared" si="1"/>
        <v>0</v>
      </c>
      <c r="J16" s="21">
        <f t="shared" si="1"/>
        <v>0</v>
      </c>
      <c r="K16" s="21">
        <f t="shared" si="1"/>
        <v>0</v>
      </c>
      <c r="L16" s="21">
        <f t="shared" ca="1" si="1"/>
        <v>0</v>
      </c>
      <c r="M16" s="21">
        <f t="shared" si="1"/>
        <v>0</v>
      </c>
      <c r="N16" s="21">
        <f t="shared" ca="1" si="1"/>
        <v>4539.1068549161719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0.21040133689886262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10236.183529704032</v>
      </c>
      <c r="C20" s="23">
        <f t="shared" ref="C20:P20" ca="1" si="2">C16*C18</f>
        <v>0</v>
      </c>
      <c r="D20" s="23">
        <f t="shared" ca="1" si="2"/>
        <v>2451.9797583341742</v>
      </c>
      <c r="E20" s="23">
        <f t="shared" si="2"/>
        <v>146.27068556062557</v>
      </c>
      <c r="F20" s="23">
        <f t="shared" ca="1" si="2"/>
        <v>2628.8794082256882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2057.1331048739498</v>
      </c>
      <c r="C26" s="39">
        <f>IF(ISERROR(B26*3.6/1000000/'E Balans VL '!Z12*100),0,B26*3.6/1000000/'E Balans VL '!Z12*100)</f>
        <v>4.3694526118798392E-2</v>
      </c>
      <c r="D26" s="239" t="s">
        <v>692</v>
      </c>
      <c r="F26" s="6"/>
    </row>
    <row r="27" spans="1:18">
      <c r="A27" s="233" t="s">
        <v>53</v>
      </c>
      <c r="B27" s="33">
        <f>IF(ISERROR(TER_horeca_ele_kWh/1000),0,TER_horeca_ele_kWh/1000)</f>
        <v>1905.56642188615</v>
      </c>
      <c r="C27" s="39">
        <f>IF(ISERROR(B27*3.6/1000000/'E Balans VL '!Z9*100),0,B27*3.6/1000000/'E Balans VL '!Z9*100)</f>
        <v>0.14816939435035528</v>
      </c>
      <c r="D27" s="239" t="s">
        <v>692</v>
      </c>
      <c r="F27" s="6"/>
    </row>
    <row r="28" spans="1:18">
      <c r="A28" s="173" t="s">
        <v>52</v>
      </c>
      <c r="B28" s="33">
        <f>IF(ISERROR(TER_handel_ele_kWh/1000),0,TER_handel_ele_kWh/1000)</f>
        <v>1480.7732091552798</v>
      </c>
      <c r="C28" s="39">
        <f>IF(ISERROR(B28*3.6/1000000/'E Balans VL '!Z13*100),0,B28*3.6/1000000/'E Balans VL '!Z13*100)</f>
        <v>4.2366664209669024E-2</v>
      </c>
      <c r="D28" s="239" t="s">
        <v>692</v>
      </c>
      <c r="F28" s="6"/>
    </row>
    <row r="29" spans="1:18">
      <c r="A29" s="233" t="s">
        <v>51</v>
      </c>
      <c r="B29" s="33">
        <f>IF(ISERROR(TER_gezond_ele_kWh/1000),0,TER_gezond_ele_kWh/1000)</f>
        <v>157.39052148084701</v>
      </c>
      <c r="C29" s="39">
        <f>IF(ISERROR(B29*3.6/1000000/'E Balans VL '!Z10*100),0,B29*3.6/1000000/'E Balans VL '!Z10*100)</f>
        <v>1.7159224158502823E-2</v>
      </c>
      <c r="D29" s="239" t="s">
        <v>692</v>
      </c>
      <c r="F29" s="6"/>
    </row>
    <row r="30" spans="1:18">
      <c r="A30" s="233" t="s">
        <v>50</v>
      </c>
      <c r="B30" s="33">
        <f>IF(ISERROR(TER_ander_ele_kWh/1000),0,TER_ander_ele_kWh/1000)</f>
        <v>1817.2174495771699</v>
      </c>
      <c r="C30" s="39">
        <f>IF(ISERROR(B30*3.6/1000000/'E Balans VL '!Z14*100),0,B30*3.6/1000000/'E Balans VL '!Z14*100)</f>
        <v>0.13297985069999294</v>
      </c>
      <c r="D30" s="239" t="s">
        <v>692</v>
      </c>
      <c r="F30" s="6"/>
    </row>
    <row r="31" spans="1:18">
      <c r="A31" s="233" t="s">
        <v>55</v>
      </c>
      <c r="B31" s="33">
        <f>IF(ISERROR(TER_onderwijs_ele_kWh/1000),0,TER_onderwijs_ele_kWh/1000)</f>
        <v>37.797992513254698</v>
      </c>
      <c r="C31" s="39">
        <f>IF(ISERROR(B31*3.6/1000000/'E Balans VL '!Z11*100),0,B31*3.6/1000000/'E Balans VL '!Z11*100)</f>
        <v>7.5917548643024725E-3</v>
      </c>
      <c r="D31" s="239" t="s">
        <v>692</v>
      </c>
    </row>
    <row r="32" spans="1:18">
      <c r="A32" s="233" t="s">
        <v>260</v>
      </c>
      <c r="B32" s="33">
        <f>IF(ISERROR(TER_rest_ele_kWh/1000),0,TER_rest_ele_kWh/1000)</f>
        <v>41149.874573171699</v>
      </c>
      <c r="C32" s="39">
        <f>IF(ISERROR(B32*3.6/1000000/'E Balans VL '!Z8*100),0,B32*3.6/1000000/'E Balans VL '!Z8*100)</f>
        <v>0.33534650518130804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6359.2708657216153</v>
      </c>
      <c r="C5" s="17">
        <f>IF(ISERROR('Eigen informatie GS &amp; warmtenet'!B59),0,'Eigen informatie GS &amp; warmtenet'!B59)</f>
        <v>0</v>
      </c>
      <c r="D5" s="30">
        <f>SUM(D6:D15)</f>
        <v>33809.437745902185</v>
      </c>
      <c r="E5" s="17">
        <f>SUM(E6:E15)</f>
        <v>721.48175536376311</v>
      </c>
      <c r="F5" s="17">
        <f>SUM(F6:F15)</f>
        <v>5763.0109203657657</v>
      </c>
      <c r="G5" s="18"/>
      <c r="H5" s="17"/>
      <c r="I5" s="17"/>
      <c r="J5" s="17">
        <f>SUM(J6:J15)</f>
        <v>5.2292336393107055</v>
      </c>
      <c r="K5" s="17"/>
      <c r="L5" s="17"/>
      <c r="M5" s="17"/>
      <c r="N5" s="17">
        <f>SUM(N6:N15)</f>
        <v>1736.1928378968591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25.440972980375101</v>
      </c>
      <c r="C8" s="33"/>
      <c r="D8" s="37">
        <f>IF( ISERROR(IND_metaal_Gas_kWH/1000),0,IND_metaal_Gas_kWH/1000)*0.902</f>
        <v>0</v>
      </c>
      <c r="E8" s="33">
        <f>C30*'E Balans VL '!I18/100/3.6*1000000</f>
        <v>0.73076023769391218</v>
      </c>
      <c r="F8" s="33">
        <f>C30*'E Balans VL '!L18/100/3.6*1000000+C30*'E Balans VL '!N18/100/3.6*1000000</f>
        <v>6.5251202692378367</v>
      </c>
      <c r="G8" s="34"/>
      <c r="H8" s="33"/>
      <c r="I8" s="33"/>
      <c r="J8" s="40">
        <f>C30*'E Balans VL '!D18/100/3.6*1000000+C30*'E Balans VL '!E18/100/3.6*1000000</f>
        <v>0</v>
      </c>
      <c r="K8" s="33"/>
      <c r="L8" s="33"/>
      <c r="M8" s="33"/>
      <c r="N8" s="33">
        <f>C30*'E Balans VL '!Y18/100/3.6*1000000</f>
        <v>0.69077434880069866</v>
      </c>
      <c r="O8" s="33"/>
      <c r="P8" s="33"/>
      <c r="R8" s="32"/>
    </row>
    <row r="9" spans="1:18">
      <c r="A9" s="6" t="s">
        <v>33</v>
      </c>
      <c r="B9" s="37">
        <f t="shared" si="0"/>
        <v>1361.1717703036099</v>
      </c>
      <c r="C9" s="33"/>
      <c r="D9" s="37">
        <f>IF( ISERROR(IND_andere_gas_kWh/1000),0,IND_andere_gas_kWh/1000)*0.902</f>
        <v>70.010258117041374</v>
      </c>
      <c r="E9" s="33">
        <f>C31*'E Balans VL '!I19/100/3.6*1000000</f>
        <v>368.43573103581707</v>
      </c>
      <c r="F9" s="33">
        <f>C31*'E Balans VL '!L19/100/3.6*1000000+C31*'E Balans VL '!N19/100/3.6*1000000</f>
        <v>906.68444108448466</v>
      </c>
      <c r="G9" s="34"/>
      <c r="H9" s="33"/>
      <c r="I9" s="33"/>
      <c r="J9" s="40">
        <f>C31*'E Balans VL '!D19/100/3.6*1000000+C31*'E Balans VL '!E19/100/3.6*1000000</f>
        <v>0</v>
      </c>
      <c r="K9" s="33"/>
      <c r="L9" s="33"/>
      <c r="M9" s="33"/>
      <c r="N9" s="33">
        <f>C31*'E Balans VL '!Y19/100/3.6*1000000</f>
        <v>444.39997200527353</v>
      </c>
      <c r="O9" s="33"/>
      <c r="P9" s="33"/>
      <c r="R9" s="32"/>
    </row>
    <row r="10" spans="1:18">
      <c r="A10" s="6" t="s">
        <v>41</v>
      </c>
      <c r="B10" s="37">
        <f t="shared" si="0"/>
        <v>2932.4968696963001</v>
      </c>
      <c r="C10" s="33"/>
      <c r="D10" s="37">
        <f>IF( ISERROR(IND_voed_gas_kWh/1000),0,IND_voed_gas_kWh/1000)*0.902</f>
        <v>2296.9567231484352</v>
      </c>
      <c r="E10" s="33">
        <f>C32*'E Balans VL '!I20/100/3.6*1000000</f>
        <v>239.18118192867635</v>
      </c>
      <c r="F10" s="33">
        <f>C32*'E Balans VL '!L20/100/3.6*1000000+C32*'E Balans VL '!N20/100/3.6*1000000</f>
        <v>4372.6188921456724</v>
      </c>
      <c r="G10" s="34"/>
      <c r="H10" s="33"/>
      <c r="I10" s="33"/>
      <c r="J10" s="40">
        <f>C32*'E Balans VL '!D20/100/3.6*1000000+C32*'E Balans VL '!E20/100/3.6*1000000</f>
        <v>3.8793374012401217E-2</v>
      </c>
      <c r="K10" s="33"/>
      <c r="L10" s="33"/>
      <c r="M10" s="33"/>
      <c r="N10" s="33">
        <f>C32*'E Balans VL '!Y20/100/3.6*1000000</f>
        <v>861.46410365990789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15.0684260350498</v>
      </c>
      <c r="C13" s="33"/>
      <c r="D13" s="37">
        <f>IF( ISERROR(IND_papier_gas_kWh/1000),0,IND_papier_gas_kWh/1000)*0.902</f>
        <v>0</v>
      </c>
      <c r="E13" s="33">
        <f>C35*'E Balans VL '!I23/100/3.6*1000000</f>
        <v>0.15786921403921619</v>
      </c>
      <c r="F13" s="33">
        <f>C35*'E Balans VL '!L23/100/3.6*1000000+C35*'E Balans VL '!N23/100/3.6*1000000</f>
        <v>1.1244086215541547</v>
      </c>
      <c r="G13" s="34"/>
      <c r="H13" s="33"/>
      <c r="I13" s="33"/>
      <c r="J13" s="40">
        <f>C35*'E Balans VL '!D23/100/3.6*1000000+C35*'E Balans VL '!E23/100/3.6*1000000</f>
        <v>0</v>
      </c>
      <c r="K13" s="33"/>
      <c r="L13" s="33"/>
      <c r="M13" s="33"/>
      <c r="N13" s="33">
        <f>C35*'E Balans VL '!Y23/100/3.6*1000000</f>
        <v>32.207187855397123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2025.09282670628</v>
      </c>
      <c r="C15" s="33"/>
      <c r="D15" s="37">
        <f>IF( ISERROR(IND_rest_gas_kWh/1000),0,IND_rest_gas_kWh/1000)*0.902</f>
        <v>31442.47076463671</v>
      </c>
      <c r="E15" s="33">
        <f>C37*'E Balans VL '!I15/100/3.6*1000000</f>
        <v>112.97621294753654</v>
      </c>
      <c r="F15" s="33">
        <f>C37*'E Balans VL '!L15/100/3.6*1000000+C37*'E Balans VL '!N15/100/3.6*1000000</f>
        <v>476.058058244817</v>
      </c>
      <c r="G15" s="34"/>
      <c r="H15" s="33"/>
      <c r="I15" s="33"/>
      <c r="J15" s="40">
        <f>C37*'E Balans VL '!D15/100/3.6*1000000+C37*'E Balans VL '!E15/100/3.6*1000000</f>
        <v>5.1904402652983039</v>
      </c>
      <c r="K15" s="33"/>
      <c r="L15" s="33"/>
      <c r="M15" s="33"/>
      <c r="N15" s="33">
        <f>C37*'E Balans VL '!Y15/100/3.6*1000000</f>
        <v>397.43080002748007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6359.2708657216153</v>
      </c>
      <c r="C18" s="21">
        <f>C5+C16</f>
        <v>0</v>
      </c>
      <c r="D18" s="21">
        <f>MAX((D5+D16),0)</f>
        <v>33809.437745902185</v>
      </c>
      <c r="E18" s="21">
        <f>MAX((E5+E16),0)</f>
        <v>721.48175536376311</v>
      </c>
      <c r="F18" s="21">
        <f>MAX((F5+F16),0)</f>
        <v>5763.0109203657657</v>
      </c>
      <c r="G18" s="21"/>
      <c r="H18" s="21"/>
      <c r="I18" s="21"/>
      <c r="J18" s="21">
        <f>MAX((J5+J16),0)</f>
        <v>5.2292336393107055</v>
      </c>
      <c r="K18" s="21"/>
      <c r="L18" s="21">
        <f>MAX((L5+L16),0)</f>
        <v>0</v>
      </c>
      <c r="M18" s="21"/>
      <c r="N18" s="21">
        <f>MAX((N5+N16),0)</f>
        <v>1736.1928378968591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0.21040133689886262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1337.9990918498154</v>
      </c>
      <c r="C22" s="23">
        <f ca="1">C18*C20</f>
        <v>0</v>
      </c>
      <c r="D22" s="23">
        <f>D18*D20</f>
        <v>6829.5064246722422</v>
      </c>
      <c r="E22" s="23">
        <f>E18*E20</f>
        <v>163.77635846757423</v>
      </c>
      <c r="F22" s="23">
        <f>F18*F20</f>
        <v>1538.7239157376596</v>
      </c>
      <c r="G22" s="23"/>
      <c r="H22" s="23"/>
      <c r="I22" s="23"/>
      <c r="J22" s="23">
        <f>J18*J20</f>
        <v>1.8511487083159897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25.440972980375101</v>
      </c>
      <c r="C30" s="39">
        <f>IF(ISERROR(B30*3.6/1000000/'E Balans VL '!Z18*100),0,B30*3.6/1000000/'E Balans VL '!Z18*100)</f>
        <v>2.5033267973830421E-3</v>
      </c>
      <c r="D30" s="239" t="s">
        <v>692</v>
      </c>
    </row>
    <row r="31" spans="1:18">
      <c r="A31" s="6" t="s">
        <v>33</v>
      </c>
      <c r="B31" s="37">
        <f>IF( ISERROR(IND_ander_ele_kWh/1000),0,IND_ander_ele_kWh/1000)</f>
        <v>1361.1717703036099</v>
      </c>
      <c r="C31" s="39">
        <f>IF(ISERROR(B31*3.6/1000000/'E Balans VL '!Z19*100),0,B31*3.6/1000000/'E Balans VL '!Z19*100)</f>
        <v>5.9277944800696834E-2</v>
      </c>
      <c r="D31" s="239" t="s">
        <v>692</v>
      </c>
    </row>
    <row r="32" spans="1:18">
      <c r="A32" s="173" t="s">
        <v>41</v>
      </c>
      <c r="B32" s="37">
        <f>IF( ISERROR(IND_voed_ele_kWh/1000),0,IND_voed_ele_kWh/1000)</f>
        <v>2932.4968696963001</v>
      </c>
      <c r="C32" s="39">
        <f>IF(ISERROR(B32*3.6/1000000/'E Balans VL '!Z20*100),0,B32*3.6/1000000/'E Balans VL '!Z20*100)</f>
        <v>0.55639898981927849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15.0684260350498</v>
      </c>
      <c r="C35" s="39">
        <f>IF(ISERROR(B35*3.6/1000000/'E Balans VL '!Z22*100),0,B35*3.6/1000000/'E Balans VL '!Z22*100)</f>
        <v>2.1187720129458936E-3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2025.09282670628</v>
      </c>
      <c r="C37" s="39">
        <f>IF(ISERROR(B37*3.6/1000000/'E Balans VL '!Z15*100),0,B37*3.6/1000000/'E Balans VL '!Z15*100)</f>
        <v>1.5605827556472121E-2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677.49188086806703</v>
      </c>
      <c r="C5" s="17">
        <f>'Eigen informatie GS &amp; warmtenet'!B60</f>
        <v>0</v>
      </c>
      <c r="D5" s="30">
        <f>IF(ISERROR(SUM(LB_lb_gas_kWh,LB_rest_gas_kWh,onbekend_gas_kWh)/1000),0,SUM(LB_lb_gas_kWh,LB_rest_gas_kWh,onbekend_gas_kWh)/1000)*0.902</f>
        <v>1468.5940647460543</v>
      </c>
      <c r="E5" s="17">
        <f>B17*'E Balans VL '!I25/3.6*1000000/100</f>
        <v>8.5372704859357569</v>
      </c>
      <c r="F5" s="17">
        <f>B17*('E Balans VL '!L25/3.6*1000000+'E Balans VL '!N25/3.6*1000000)/100</f>
        <v>2337.5167108522855</v>
      </c>
      <c r="G5" s="18"/>
      <c r="H5" s="17"/>
      <c r="I5" s="17"/>
      <c r="J5" s="17">
        <f>('E Balans VL '!D25+'E Balans VL '!E25)/3.6*1000000*landbouw!B17/100</f>
        <v>101.88707742666524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677.49188086806703</v>
      </c>
      <c r="C8" s="21">
        <f>C5+C6</f>
        <v>0</v>
      </c>
      <c r="D8" s="21">
        <f>MAX((D5+D6),0)</f>
        <v>1468.5940647460543</v>
      </c>
      <c r="E8" s="21">
        <f>MAX((E5+E6),0)</f>
        <v>8.5372704859357569</v>
      </c>
      <c r="F8" s="21">
        <f>MAX((F5+F6),0)</f>
        <v>2337.5167108522855</v>
      </c>
      <c r="G8" s="21"/>
      <c r="H8" s="21"/>
      <c r="I8" s="21"/>
      <c r="J8" s="21">
        <f>MAX((J5+J6),0)</f>
        <v>101.88707742666524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0.21040133689886262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142.54519747276626</v>
      </c>
      <c r="C12" s="23">
        <f ca="1">C8*C10</f>
        <v>0</v>
      </c>
      <c r="D12" s="23">
        <f>D8*D10</f>
        <v>296.65600107870301</v>
      </c>
      <c r="E12" s="23">
        <f>E8*E10</f>
        <v>1.9379604003074169</v>
      </c>
      <c r="F12" s="23">
        <f>F8*F10</f>
        <v>624.11696179756029</v>
      </c>
      <c r="G12" s="23"/>
      <c r="H12" s="23"/>
      <c r="I12" s="23"/>
      <c r="J12" s="23">
        <f>J8*J10</f>
        <v>36.068025409039493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9.4488764076490706E-2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16.455392681719424</v>
      </c>
      <c r="C26" s="249">
        <f>B26*'GWP N2O_CH4'!B5</f>
        <v>345.56324631610789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1.1569563434193282</v>
      </c>
      <c r="C27" s="249">
        <f>B27*'GWP N2O_CH4'!B5</f>
        <v>24.296083211805893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0.2463979689486343</v>
      </c>
      <c r="C28" s="249">
        <f>B28*'GWP N2O_CH4'!B4</f>
        <v>76.383370374076634</v>
      </c>
      <c r="D28" s="50"/>
    </row>
    <row r="29" spans="1:4">
      <c r="A29" s="41" t="s">
        <v>277</v>
      </c>
      <c r="B29" s="249">
        <f>B34*'ha_N2O bodem landbouw'!B4</f>
        <v>5.5694435855593865</v>
      </c>
      <c r="C29" s="249">
        <f>B29*'GWP N2O_CH4'!B4</f>
        <v>1726.5275115234099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1.3906344118806285E-3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3.7657163864207057E-5</v>
      </c>
      <c r="C5" s="448" t="s">
        <v>211</v>
      </c>
      <c r="D5" s="433">
        <f>SUM(D6:D11)</f>
        <v>5.9438319025416648E-5</v>
      </c>
      <c r="E5" s="433">
        <f>SUM(E6:E11)</f>
        <v>2.0323881658354001E-3</v>
      </c>
      <c r="F5" s="446" t="s">
        <v>211</v>
      </c>
      <c r="G5" s="433">
        <f>SUM(G6:G11)</f>
        <v>0.47883464148811322</v>
      </c>
      <c r="H5" s="433">
        <f>SUM(H6:H11)</f>
        <v>9.0930174839051719E-2</v>
      </c>
      <c r="I5" s="448" t="s">
        <v>211</v>
      </c>
      <c r="J5" s="448" t="s">
        <v>211</v>
      </c>
      <c r="K5" s="448" t="s">
        <v>211</v>
      </c>
      <c r="L5" s="448" t="s">
        <v>211</v>
      </c>
      <c r="M5" s="433">
        <f>SUM(M6:M11)</f>
        <v>2.5759483055074479E-2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1.6289435277557815E-5</v>
      </c>
      <c r="C6" s="949"/>
      <c r="D6" s="949">
        <f>vkm_2011_GW_PW*SUMIFS(TableVerdeelsleutelVkm[CNG],TableVerdeelsleutelVkm[Voertuigtype],"Lichte voertuigen")*SUMIFS(TableECFTransport[EnergieConsumptieFactor (PJ per km)],TableECFTransport[Index],CONCATENATE($A6,"_CNG_CNG"))</f>
        <v>2.306902625078243E-5</v>
      </c>
      <c r="E6" s="949">
        <f>vkm_2011_GW_PW*SUMIFS(TableVerdeelsleutelVkm[LPG],TableVerdeelsleutelVkm[Voertuigtype],"Lichte voertuigen")*SUMIFS(TableECFTransport[EnergieConsumptieFactor (PJ per km)],TableECFTransport[Index],CONCATENATE($A6,"_LPG_LPG"))</f>
        <v>7.2452216929768862E-4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0.13021647271726189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3.489255166478733E-2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7.470059831723351E-3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4.9120362235741941E-2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1.7451955483230191E-5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2.2166464924749532E-3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4.5703591255010244E-6</v>
      </c>
      <c r="C8" s="949"/>
      <c r="D8" s="436">
        <f>vkm_2011_NGW_PW*SUMIFS(TableVerdeelsleutelVkm[CNG],TableVerdeelsleutelVkm[Voertuigtype],"Lichte voertuigen")*SUMIFS(TableECFTransport[EnergieConsumptieFactor (PJ per km)],TableECFTransport[Index],CONCATENATE($A8,"_CNG_CNG"))</f>
        <v>1.1530909011074218E-5</v>
      </c>
      <c r="E8" s="436">
        <f>vkm_2011_NGW_PW*SUMIFS(TableVerdeelsleutelVkm[LPG],TableVerdeelsleutelVkm[Voertuigtype],"Lichte voertuigen")*SUMIFS(TableECFTransport[EnergieConsumptieFactor (PJ per km)],TableECFTransport[Index],CONCATENATE($A8,"_LPG_LPG"))</f>
        <v>3.3356327056282084E-4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5.6542208922297624E-2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1.6828680066098514E-2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3.3203637583801501E-3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2.7651397622841462E-3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9.2966038433151794E-7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1.2477959303302792E-4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1.6797369461148214E-5</v>
      </c>
      <c r="C10" s="949"/>
      <c r="D10" s="436">
        <f>vkm_2011_SW_PW*SUMIFS(TableVerdeelsleutelVkm[CNG],TableVerdeelsleutelVkm[Voertuigtype],"Lichte voertuigen")*SUMIFS(TableECFTransport[EnergieConsumptieFactor (PJ per km)],TableECFTransport[Index],CONCATENATE($A10,"_CNG_CNG"))</f>
        <v>2.4838383763560001E-5</v>
      </c>
      <c r="E10" s="436">
        <f>vkm_2011_SW_PW*SUMIFS(TableVerdeelsleutelVkm[LPG],TableVerdeelsleutelVkm[Voertuigtype],"Lichte voertuigen")*SUMIFS(TableECFTransport[EnergieConsumptieFactor (PJ per km)],TableECFTransport[Index],CONCATENATE($A10,"_LPG_LPG"))</f>
        <v>9.743027259748908E-4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0.15858784104398008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3.9159295944103438E-2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8.945061575493761E-3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8.1602616806547498E-2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3.1265548194883042E-5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3.6825718039692388E-3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10.460323295613071</v>
      </c>
      <c r="C14" s="21"/>
      <c r="D14" s="21">
        <f t="shared" ref="D14:M14" si="0">((D5)*10^9/3600)+D12</f>
        <v>16.510644173726845</v>
      </c>
      <c r="E14" s="21">
        <f t="shared" si="0"/>
        <v>564.55226828761113</v>
      </c>
      <c r="F14" s="21"/>
      <c r="G14" s="21">
        <f t="shared" si="0"/>
        <v>133009.622635587</v>
      </c>
      <c r="H14" s="21">
        <f t="shared" si="0"/>
        <v>25258.381899736589</v>
      </c>
      <c r="I14" s="21"/>
      <c r="J14" s="21"/>
      <c r="K14" s="21"/>
      <c r="L14" s="21"/>
      <c r="M14" s="21">
        <f t="shared" si="0"/>
        <v>7155.4119597429108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0.21040133689886262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2.2008660057913065</v>
      </c>
      <c r="C18" s="23"/>
      <c r="D18" s="23">
        <f t="shared" ref="D18:M18" si="1">D14*D16</f>
        <v>3.3351501230928231</v>
      </c>
      <c r="E18" s="23">
        <f t="shared" si="1"/>
        <v>128.15336490128772</v>
      </c>
      <c r="F18" s="23"/>
      <c r="G18" s="23">
        <f t="shared" si="1"/>
        <v>35513.569243701735</v>
      </c>
      <c r="H18" s="23">
        <f t="shared" si="1"/>
        <v>6289.3370930344108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6.0805084033686884E-3</v>
      </c>
      <c r="H50" s="323">
        <f t="shared" si="2"/>
        <v>0</v>
      </c>
      <c r="I50" s="323">
        <f t="shared" si="2"/>
        <v>0</v>
      </c>
      <c r="J50" s="323">
        <f t="shared" si="2"/>
        <v>0</v>
      </c>
      <c r="K50" s="323">
        <f t="shared" si="2"/>
        <v>0</v>
      </c>
      <c r="L50" s="323">
        <f t="shared" si="2"/>
        <v>0</v>
      </c>
      <c r="M50" s="323">
        <f t="shared" si="2"/>
        <v>2.7041508111289828E-4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6.0805084033686884E-3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2.7041508111289828E-4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1689.0301120468578</v>
      </c>
      <c r="H54" s="21">
        <f t="shared" si="3"/>
        <v>0</v>
      </c>
      <c r="I54" s="21">
        <f t="shared" si="3"/>
        <v>0</v>
      </c>
      <c r="J54" s="21">
        <f t="shared" si="3"/>
        <v>0</v>
      </c>
      <c r="K54" s="21">
        <f t="shared" si="3"/>
        <v>0</v>
      </c>
      <c r="L54" s="21">
        <f t="shared" si="3"/>
        <v>0</v>
      </c>
      <c r="M54" s="21">
        <f t="shared" si="3"/>
        <v>75.115300309138419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0.21040133689886262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450.97103991651107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170.3964125560538</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3991.7197769841678</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0</v>
      </c>
      <c r="D7" s="565"/>
      <c r="E7" s="565">
        <f>E100</f>
        <v>0</v>
      </c>
      <c r="F7" s="566"/>
      <c r="G7" s="567"/>
      <c r="H7" s="565">
        <f>I100</f>
        <v>0</v>
      </c>
      <c r="I7" s="565">
        <f>G100+F100</f>
        <v>52.941176470588232</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4207.116189540222</v>
      </c>
      <c r="C9" s="580">
        <f t="shared" ref="C9:L9" si="0">SUM(C7:C8)</f>
        <v>0</v>
      </c>
      <c r="D9" s="580">
        <f t="shared" si="0"/>
        <v>0</v>
      </c>
      <c r="E9" s="580">
        <f t="shared" si="0"/>
        <v>0</v>
      </c>
      <c r="F9" s="580">
        <f t="shared" si="0"/>
        <v>0</v>
      </c>
      <c r="G9" s="580">
        <f t="shared" si="0"/>
        <v>0</v>
      </c>
      <c r="H9" s="580">
        <f t="shared" si="0"/>
        <v>0</v>
      </c>
      <c r="I9" s="580">
        <f t="shared" si="0"/>
        <v>52.941176470588232</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50.625</v>
      </c>
      <c r="C16" s="596">
        <f>B101</f>
        <v>0</v>
      </c>
      <c r="D16" s="597"/>
      <c r="E16" s="597">
        <f>E101</f>
        <v>0</v>
      </c>
      <c r="F16" s="598"/>
      <c r="G16" s="599"/>
      <c r="H16" s="596">
        <f>I101</f>
        <v>0</v>
      </c>
      <c r="I16" s="597">
        <f>G101+F101</f>
        <v>59.558823529411768</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50.625</v>
      </c>
      <c r="C19" s="579">
        <f>SUM(C16:C18)</f>
        <v>0</v>
      </c>
      <c r="D19" s="579">
        <f t="shared" ref="D19:M19" si="1">SUM(D16:D18)</f>
        <v>0</v>
      </c>
      <c r="E19" s="579">
        <f t="shared" si="1"/>
        <v>0</v>
      </c>
      <c r="F19" s="579">
        <f t="shared" si="1"/>
        <v>0</v>
      </c>
      <c r="G19" s="579">
        <f t="shared" si="1"/>
        <v>0</v>
      </c>
      <c r="H19" s="579">
        <f t="shared" si="1"/>
        <v>0</v>
      </c>
      <c r="I19" s="579">
        <f t="shared" si="1"/>
        <v>59.558823529411768</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24094</v>
      </c>
      <c r="C27" s="839">
        <v>3118</v>
      </c>
      <c r="D27" s="658" t="s">
        <v>878</v>
      </c>
      <c r="E27" s="657" t="s">
        <v>879</v>
      </c>
      <c r="F27" s="657" t="s">
        <v>880</v>
      </c>
      <c r="G27" s="657" t="s">
        <v>881</v>
      </c>
      <c r="H27" s="657" t="s">
        <v>882</v>
      </c>
      <c r="I27" s="657" t="s">
        <v>879</v>
      </c>
      <c r="J27" s="838">
        <v>38718</v>
      </c>
      <c r="K27" s="838">
        <v>38991</v>
      </c>
      <c r="L27" s="657" t="s">
        <v>883</v>
      </c>
      <c r="M27" s="657">
        <v>10</v>
      </c>
      <c r="N27" s="657">
        <v>45</v>
      </c>
      <c r="O27" s="657">
        <v>50.625</v>
      </c>
      <c r="P27" s="657">
        <v>0</v>
      </c>
      <c r="Q27" s="657">
        <v>0</v>
      </c>
      <c r="R27" s="657">
        <v>0</v>
      </c>
      <c r="S27" s="657">
        <v>0</v>
      </c>
      <c r="T27" s="657">
        <v>112.5</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v>
      </c>
      <c r="N57" s="615">
        <f>SUM(N27:N56)</f>
        <v>45</v>
      </c>
      <c r="O57" s="615">
        <f t="shared" ref="O57:W57" si="2">SUM(O27:O56)</f>
        <v>50.625</v>
      </c>
      <c r="P57" s="615">
        <f t="shared" si="2"/>
        <v>0</v>
      </c>
      <c r="Q57" s="615">
        <f t="shared" si="2"/>
        <v>0</v>
      </c>
      <c r="R57" s="615">
        <f t="shared" si="2"/>
        <v>0</v>
      </c>
      <c r="S57" s="615">
        <f t="shared" si="2"/>
        <v>0</v>
      </c>
      <c r="T57" s="615">
        <f t="shared" si="2"/>
        <v>112.5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v>
      </c>
      <c r="N59" s="615">
        <f ca="1">SUMIF($Z$27:AB56,"tertiair",N27:N56)</f>
        <v>45</v>
      </c>
      <c r="O59" s="615">
        <f ca="1">SUMIF($Z$27:AC56,"tertiair",O27:O56)</f>
        <v>50.625</v>
      </c>
      <c r="P59" s="615">
        <f ca="1">SUMIF($Z$27:AD56,"tertiair",P27:P56)</f>
        <v>0</v>
      </c>
      <c r="Q59" s="615">
        <f ca="1">SUMIF($Z$27:AE56,"tertiair",Q27:Q56)</f>
        <v>0</v>
      </c>
      <c r="R59" s="615">
        <f ca="1">SUMIF($Z$27:AF56,"tertiair",R27:R56)</f>
        <v>0</v>
      </c>
      <c r="S59" s="615">
        <f ca="1">SUMIF($Z$27:AG56,"tertiair",S27:S56)</f>
        <v>0</v>
      </c>
      <c r="T59" s="615">
        <f ca="1">SUMIF($Z$27:AH56,"tertiair",T27:T56)</f>
        <v>112.5</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52.941176470588232</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59.558823529411768</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49572.928272658355</v>
      </c>
      <c r="D10" s="704">
        <f ca="1">tertiair!C16</f>
        <v>50.625</v>
      </c>
      <c r="E10" s="704">
        <f ca="1">tertiair!D16</f>
        <v>12138.513655119674</v>
      </c>
      <c r="F10" s="704">
        <f>tertiair!E16</f>
        <v>644.36425357103769</v>
      </c>
      <c r="G10" s="704">
        <f ca="1">tertiair!F16</f>
        <v>9845.9902929801046</v>
      </c>
      <c r="H10" s="704">
        <f>tertiair!G16</f>
        <v>0</v>
      </c>
      <c r="I10" s="704">
        <f>tertiair!H16</f>
        <v>0</v>
      </c>
      <c r="J10" s="704">
        <f>tertiair!I16</f>
        <v>0</v>
      </c>
      <c r="K10" s="704">
        <f>tertiair!J16</f>
        <v>0</v>
      </c>
      <c r="L10" s="704">
        <f>tertiair!K16</f>
        <v>0</v>
      </c>
      <c r="M10" s="704">
        <f ca="1">tertiair!L16</f>
        <v>0</v>
      </c>
      <c r="N10" s="704">
        <f>tertiair!M16</f>
        <v>0</v>
      </c>
      <c r="O10" s="704">
        <f ca="1">tertiair!N16</f>
        <v>4539.1068549161719</v>
      </c>
      <c r="P10" s="704">
        <f>tertiair!O16</f>
        <v>1.5633333333333335</v>
      </c>
      <c r="Q10" s="705">
        <f>tertiair!P16</f>
        <v>0</v>
      </c>
      <c r="R10" s="707">
        <f ca="1">SUM(C10:Q10)</f>
        <v>76793.091662578678</v>
      </c>
      <c r="S10" s="67"/>
    </row>
    <row r="11" spans="1:19" s="459" customFormat="1">
      <c r="A11" s="858" t="s">
        <v>225</v>
      </c>
      <c r="B11" s="863"/>
      <c r="C11" s="704">
        <f>huishoudens!B8</f>
        <v>31105.316390137708</v>
      </c>
      <c r="D11" s="704">
        <f>huishoudens!C8</f>
        <v>0</v>
      </c>
      <c r="E11" s="704">
        <f>huishoudens!D8</f>
        <v>45006.275876558131</v>
      </c>
      <c r="F11" s="704">
        <f>huishoudens!E8</f>
        <v>10080.938691288708</v>
      </c>
      <c r="G11" s="704">
        <f>huishoudens!F8</f>
        <v>54404.72084028097</v>
      </c>
      <c r="H11" s="704">
        <f>huishoudens!G8</f>
        <v>0</v>
      </c>
      <c r="I11" s="704">
        <f>huishoudens!H8</f>
        <v>0</v>
      </c>
      <c r="J11" s="704">
        <f>huishoudens!I8</f>
        <v>0</v>
      </c>
      <c r="K11" s="704">
        <f>huishoudens!J8</f>
        <v>0</v>
      </c>
      <c r="L11" s="704">
        <f>huishoudens!K8</f>
        <v>0</v>
      </c>
      <c r="M11" s="704">
        <f>huishoudens!L8</f>
        <v>0</v>
      </c>
      <c r="N11" s="704">
        <f>huishoudens!M8</f>
        <v>0</v>
      </c>
      <c r="O11" s="704">
        <f>huishoudens!N8</f>
        <v>10947.887346982692</v>
      </c>
      <c r="P11" s="704">
        <f>huishoudens!O8</f>
        <v>289.2166666666667</v>
      </c>
      <c r="Q11" s="705">
        <f>huishoudens!P8</f>
        <v>705.4666666666667</v>
      </c>
      <c r="R11" s="707">
        <f>SUM(C11:Q11)</f>
        <v>152539.82247858157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6359.2708657216153</v>
      </c>
      <c r="D13" s="704">
        <f>industrie!C18</f>
        <v>0</v>
      </c>
      <c r="E13" s="704">
        <f>industrie!D18</f>
        <v>33809.437745902185</v>
      </c>
      <c r="F13" s="704">
        <f>industrie!E18</f>
        <v>721.48175536376311</v>
      </c>
      <c r="G13" s="704">
        <f>industrie!F18</f>
        <v>5763.0109203657657</v>
      </c>
      <c r="H13" s="704">
        <f>industrie!G18</f>
        <v>0</v>
      </c>
      <c r="I13" s="704">
        <f>industrie!H18</f>
        <v>0</v>
      </c>
      <c r="J13" s="704">
        <f>industrie!I18</f>
        <v>0</v>
      </c>
      <c r="K13" s="704">
        <f>industrie!J18</f>
        <v>5.2292336393107055</v>
      </c>
      <c r="L13" s="704">
        <f>industrie!K18</f>
        <v>0</v>
      </c>
      <c r="M13" s="704">
        <f>industrie!L18</f>
        <v>0</v>
      </c>
      <c r="N13" s="704">
        <f>industrie!M18</f>
        <v>0</v>
      </c>
      <c r="O13" s="704">
        <f>industrie!N18</f>
        <v>1736.1928378968591</v>
      </c>
      <c r="P13" s="704">
        <f>industrie!O18</f>
        <v>0</v>
      </c>
      <c r="Q13" s="705">
        <f>industrie!P18</f>
        <v>0</v>
      </c>
      <c r="R13" s="707">
        <f>SUM(C13:Q13)</f>
        <v>48394.62335888949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87037.515528517673</v>
      </c>
      <c r="D15" s="709">
        <f t="shared" ref="D15:Q15" ca="1" si="0">SUM(D9:D14)</f>
        <v>50.625</v>
      </c>
      <c r="E15" s="709">
        <f t="shared" ca="1" si="0"/>
        <v>90954.227277579979</v>
      </c>
      <c r="F15" s="709">
        <f t="shared" si="0"/>
        <v>11446.784700223507</v>
      </c>
      <c r="G15" s="709">
        <f t="shared" ca="1" si="0"/>
        <v>70013.722053626843</v>
      </c>
      <c r="H15" s="709">
        <f t="shared" si="0"/>
        <v>0</v>
      </c>
      <c r="I15" s="709">
        <f t="shared" si="0"/>
        <v>0</v>
      </c>
      <c r="J15" s="709">
        <f t="shared" si="0"/>
        <v>0</v>
      </c>
      <c r="K15" s="709">
        <f t="shared" si="0"/>
        <v>5.2292336393107055</v>
      </c>
      <c r="L15" s="709">
        <f t="shared" si="0"/>
        <v>0</v>
      </c>
      <c r="M15" s="709">
        <f t="shared" ca="1" si="0"/>
        <v>0</v>
      </c>
      <c r="N15" s="709">
        <f t="shared" si="0"/>
        <v>0</v>
      </c>
      <c r="O15" s="709">
        <f t="shared" ca="1" si="0"/>
        <v>17223.187039795725</v>
      </c>
      <c r="P15" s="709">
        <f t="shared" si="0"/>
        <v>290.78000000000003</v>
      </c>
      <c r="Q15" s="710">
        <f t="shared" si="0"/>
        <v>705.4666666666667</v>
      </c>
      <c r="R15" s="711">
        <f ca="1">SUM(R9:R14)</f>
        <v>277727.53750004974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1689.0301120468578</v>
      </c>
      <c r="I18" s="704">
        <f>transport!H54</f>
        <v>0</v>
      </c>
      <c r="J18" s="704">
        <f>transport!I54</f>
        <v>0</v>
      </c>
      <c r="K18" s="704">
        <f>transport!J54</f>
        <v>0</v>
      </c>
      <c r="L18" s="704">
        <f>transport!K54</f>
        <v>0</v>
      </c>
      <c r="M18" s="704">
        <f>transport!L54</f>
        <v>0</v>
      </c>
      <c r="N18" s="704">
        <f>transport!M54</f>
        <v>75.115300309138419</v>
      </c>
      <c r="O18" s="704">
        <f>transport!N54</f>
        <v>0</v>
      </c>
      <c r="P18" s="704">
        <f>transport!O54</f>
        <v>0</v>
      </c>
      <c r="Q18" s="705">
        <f>transport!P54</f>
        <v>0</v>
      </c>
      <c r="R18" s="707">
        <f>SUM(C18:Q18)</f>
        <v>1764.1454123559961</v>
      </c>
      <c r="S18" s="67"/>
    </row>
    <row r="19" spans="1:19" s="459" customFormat="1" ht="15" thickBot="1">
      <c r="A19" s="858" t="s">
        <v>307</v>
      </c>
      <c r="B19" s="863"/>
      <c r="C19" s="713">
        <f>transport!B14</f>
        <v>10.460323295613071</v>
      </c>
      <c r="D19" s="713">
        <f>transport!C14</f>
        <v>0</v>
      </c>
      <c r="E19" s="713">
        <f>transport!D14</f>
        <v>16.510644173726845</v>
      </c>
      <c r="F19" s="713">
        <f>transport!E14</f>
        <v>564.55226828761113</v>
      </c>
      <c r="G19" s="713">
        <f>transport!F14</f>
        <v>0</v>
      </c>
      <c r="H19" s="713">
        <f>transport!G14</f>
        <v>133009.622635587</v>
      </c>
      <c r="I19" s="713">
        <f>transport!H14</f>
        <v>25258.381899736589</v>
      </c>
      <c r="J19" s="713">
        <f>transport!I14</f>
        <v>0</v>
      </c>
      <c r="K19" s="713">
        <f>transport!J14</f>
        <v>0</v>
      </c>
      <c r="L19" s="713">
        <f>transport!K14</f>
        <v>0</v>
      </c>
      <c r="M19" s="713">
        <f>transport!L14</f>
        <v>0</v>
      </c>
      <c r="N19" s="713">
        <f>transport!M14</f>
        <v>7155.4119597429108</v>
      </c>
      <c r="O19" s="713">
        <f>transport!N14</f>
        <v>0</v>
      </c>
      <c r="P19" s="713">
        <f>transport!O14</f>
        <v>0</v>
      </c>
      <c r="Q19" s="714">
        <f>transport!P14</f>
        <v>0</v>
      </c>
      <c r="R19" s="715">
        <f>SUM(C19:Q19)</f>
        <v>166014.93973082348</v>
      </c>
      <c r="S19" s="67"/>
    </row>
    <row r="20" spans="1:19" s="459" customFormat="1" ht="15.75" thickBot="1">
      <c r="A20" s="716" t="s">
        <v>230</v>
      </c>
      <c r="B20" s="866"/>
      <c r="C20" s="861">
        <f>SUM(C17:C19)</f>
        <v>10.460323295613071</v>
      </c>
      <c r="D20" s="717">
        <f t="shared" ref="D20:R20" si="1">SUM(D17:D19)</f>
        <v>0</v>
      </c>
      <c r="E20" s="717">
        <f t="shared" si="1"/>
        <v>16.510644173726845</v>
      </c>
      <c r="F20" s="717">
        <f t="shared" si="1"/>
        <v>564.55226828761113</v>
      </c>
      <c r="G20" s="717">
        <f t="shared" si="1"/>
        <v>0</v>
      </c>
      <c r="H20" s="717">
        <f t="shared" si="1"/>
        <v>134698.65274763387</v>
      </c>
      <c r="I20" s="717">
        <f t="shared" si="1"/>
        <v>25258.381899736589</v>
      </c>
      <c r="J20" s="717">
        <f t="shared" si="1"/>
        <v>0</v>
      </c>
      <c r="K20" s="717">
        <f t="shared" si="1"/>
        <v>0</v>
      </c>
      <c r="L20" s="717">
        <f t="shared" si="1"/>
        <v>0</v>
      </c>
      <c r="M20" s="717">
        <f t="shared" si="1"/>
        <v>0</v>
      </c>
      <c r="N20" s="717">
        <f t="shared" si="1"/>
        <v>7230.5272600520493</v>
      </c>
      <c r="O20" s="717">
        <f t="shared" si="1"/>
        <v>0</v>
      </c>
      <c r="P20" s="717">
        <f t="shared" si="1"/>
        <v>0</v>
      </c>
      <c r="Q20" s="718">
        <f t="shared" si="1"/>
        <v>0</v>
      </c>
      <c r="R20" s="719">
        <f t="shared" si="1"/>
        <v>167779.08514317946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677.49188086806703</v>
      </c>
      <c r="D22" s="713">
        <f>+landbouw!C8</f>
        <v>0</v>
      </c>
      <c r="E22" s="713">
        <f>+landbouw!D8</f>
        <v>1468.5940647460543</v>
      </c>
      <c r="F22" s="713">
        <f>+landbouw!E8</f>
        <v>8.5372704859357569</v>
      </c>
      <c r="G22" s="713">
        <f>+landbouw!F8</f>
        <v>2337.5167108522855</v>
      </c>
      <c r="H22" s="713">
        <f>+landbouw!G8</f>
        <v>0</v>
      </c>
      <c r="I22" s="713">
        <f>+landbouw!H8</f>
        <v>0</v>
      </c>
      <c r="J22" s="713">
        <f>+landbouw!I8</f>
        <v>0</v>
      </c>
      <c r="K22" s="713">
        <f>+landbouw!J8</f>
        <v>101.88707742666524</v>
      </c>
      <c r="L22" s="713">
        <f>+landbouw!K8</f>
        <v>0</v>
      </c>
      <c r="M22" s="713">
        <f>+landbouw!L8</f>
        <v>0</v>
      </c>
      <c r="N22" s="713">
        <f>+landbouw!M8</f>
        <v>0</v>
      </c>
      <c r="O22" s="713">
        <f>+landbouw!N8</f>
        <v>0</v>
      </c>
      <c r="P22" s="713">
        <f>+landbouw!O8</f>
        <v>0</v>
      </c>
      <c r="Q22" s="714">
        <f>+landbouw!P8</f>
        <v>0</v>
      </c>
      <c r="R22" s="715">
        <f>SUM(C22:Q22)</f>
        <v>4594.0270043790078</v>
      </c>
      <c r="S22" s="67"/>
    </row>
    <row r="23" spans="1:19" s="459" customFormat="1" ht="17.25" thickTop="1" thickBot="1">
      <c r="A23" s="720" t="s">
        <v>116</v>
      </c>
      <c r="B23" s="852"/>
      <c r="C23" s="721">
        <f ca="1">C20+C15+C22</f>
        <v>87725.467732681354</v>
      </c>
      <c r="D23" s="721">
        <f t="shared" ref="D23:Q23" ca="1" si="2">D20+D15+D22</f>
        <v>50.625</v>
      </c>
      <c r="E23" s="721">
        <f t="shared" ca="1" si="2"/>
        <v>92439.331986499761</v>
      </c>
      <c r="F23" s="721">
        <f t="shared" si="2"/>
        <v>12019.874238997054</v>
      </c>
      <c r="G23" s="721">
        <f t="shared" ca="1" si="2"/>
        <v>72351.238764479131</v>
      </c>
      <c r="H23" s="721">
        <f t="shared" si="2"/>
        <v>134698.65274763387</v>
      </c>
      <c r="I23" s="721">
        <f t="shared" si="2"/>
        <v>25258.381899736589</v>
      </c>
      <c r="J23" s="721">
        <f t="shared" si="2"/>
        <v>0</v>
      </c>
      <c r="K23" s="721">
        <f t="shared" si="2"/>
        <v>107.11631106597595</v>
      </c>
      <c r="L23" s="721">
        <f t="shared" si="2"/>
        <v>0</v>
      </c>
      <c r="M23" s="721">
        <f t="shared" ca="1" si="2"/>
        <v>0</v>
      </c>
      <c r="N23" s="721">
        <f t="shared" si="2"/>
        <v>7230.5272600520493</v>
      </c>
      <c r="O23" s="721">
        <f t="shared" ca="1" si="2"/>
        <v>17223.187039795725</v>
      </c>
      <c r="P23" s="721">
        <f t="shared" si="2"/>
        <v>290.78000000000003</v>
      </c>
      <c r="Q23" s="722">
        <f t="shared" si="2"/>
        <v>705.4666666666667</v>
      </c>
      <c r="R23" s="723">
        <f ca="1">R20+R15+R22</f>
        <v>450100.64964760822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10430.210382558742</v>
      </c>
      <c r="D36" s="704">
        <f ca="1">tertiair!C20</f>
        <v>0</v>
      </c>
      <c r="E36" s="704">
        <f ca="1">tertiair!D20</f>
        <v>2451.9797583341742</v>
      </c>
      <c r="F36" s="704">
        <f>tertiair!E20</f>
        <v>146.27068556062557</v>
      </c>
      <c r="G36" s="704">
        <f ca="1">tertiair!F20</f>
        <v>2628.8794082256882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15657.340234679228</v>
      </c>
    </row>
    <row r="37" spans="1:18">
      <c r="A37" s="873" t="s">
        <v>225</v>
      </c>
      <c r="B37" s="880"/>
      <c r="C37" s="704">
        <f ca="1">huishoudens!B12</f>
        <v>6544.6001531470774</v>
      </c>
      <c r="D37" s="704">
        <f ca="1">huishoudens!C12</f>
        <v>0</v>
      </c>
      <c r="E37" s="704">
        <f>huishoudens!D12</f>
        <v>9091.2677270647437</v>
      </c>
      <c r="F37" s="704">
        <f>huishoudens!E12</f>
        <v>2288.3730829225365</v>
      </c>
      <c r="G37" s="704">
        <f>huishoudens!F12</f>
        <v>14526.06046435502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32450.301427489379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1337.9990918498154</v>
      </c>
      <c r="D39" s="704">
        <f ca="1">industrie!C22</f>
        <v>0</v>
      </c>
      <c r="E39" s="704">
        <f>industrie!D22</f>
        <v>6829.5064246722422</v>
      </c>
      <c r="F39" s="704">
        <f>industrie!E22</f>
        <v>163.77635846757423</v>
      </c>
      <c r="G39" s="704">
        <f>industrie!F22</f>
        <v>1538.7239157376596</v>
      </c>
      <c r="H39" s="704">
        <f>industrie!G22</f>
        <v>0</v>
      </c>
      <c r="I39" s="704">
        <f>industrie!H22</f>
        <v>0</v>
      </c>
      <c r="J39" s="704">
        <f>industrie!I22</f>
        <v>0</v>
      </c>
      <c r="K39" s="704">
        <f>industrie!J22</f>
        <v>1.8511487083159897</v>
      </c>
      <c r="L39" s="704">
        <f>industrie!K22</f>
        <v>0</v>
      </c>
      <c r="M39" s="704">
        <f>industrie!L22</f>
        <v>0</v>
      </c>
      <c r="N39" s="704">
        <f>industrie!M22</f>
        <v>0</v>
      </c>
      <c r="O39" s="704">
        <f>industrie!N22</f>
        <v>0</v>
      </c>
      <c r="P39" s="704">
        <f>industrie!O22</f>
        <v>0</v>
      </c>
      <c r="Q39" s="814">
        <f>industrie!P22</f>
        <v>0</v>
      </c>
      <c r="R39" s="906">
        <f ca="1">SUM(C39:Q39)</f>
        <v>9871.8569394356073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18312.809627555635</v>
      </c>
      <c r="D41" s="749">
        <f t="shared" ref="D41:R41" ca="1" si="4">SUM(D35:D40)</f>
        <v>0</v>
      </c>
      <c r="E41" s="749">
        <f t="shared" ca="1" si="4"/>
        <v>18372.753910071162</v>
      </c>
      <c r="F41" s="749">
        <f t="shared" si="4"/>
        <v>2598.4201269507362</v>
      </c>
      <c r="G41" s="749">
        <f t="shared" ca="1" si="4"/>
        <v>18693.663788318368</v>
      </c>
      <c r="H41" s="749">
        <f t="shared" si="4"/>
        <v>0</v>
      </c>
      <c r="I41" s="749">
        <f t="shared" si="4"/>
        <v>0</v>
      </c>
      <c r="J41" s="749">
        <f t="shared" si="4"/>
        <v>0</v>
      </c>
      <c r="K41" s="749">
        <f t="shared" si="4"/>
        <v>1.8511487083159897</v>
      </c>
      <c r="L41" s="749">
        <f t="shared" si="4"/>
        <v>0</v>
      </c>
      <c r="M41" s="749">
        <f t="shared" ca="1" si="4"/>
        <v>0</v>
      </c>
      <c r="N41" s="749">
        <f t="shared" si="4"/>
        <v>0</v>
      </c>
      <c r="O41" s="749">
        <f t="shared" ca="1" si="4"/>
        <v>0</v>
      </c>
      <c r="P41" s="749">
        <f t="shared" si="4"/>
        <v>0</v>
      </c>
      <c r="Q41" s="750">
        <f t="shared" si="4"/>
        <v>0</v>
      </c>
      <c r="R41" s="751">
        <f t="shared" ca="1" si="4"/>
        <v>57979.498601604217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450.97103991651107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450.97103991651107</v>
      </c>
    </row>
    <row r="45" spans="1:18" ht="15" thickBot="1">
      <c r="A45" s="876" t="s">
        <v>307</v>
      </c>
      <c r="B45" s="886"/>
      <c r="C45" s="713">
        <f ca="1">transport!B18</f>
        <v>2.2008660057913065</v>
      </c>
      <c r="D45" s="713">
        <f>transport!C18</f>
        <v>0</v>
      </c>
      <c r="E45" s="713">
        <f>transport!D18</f>
        <v>3.3351501230928231</v>
      </c>
      <c r="F45" s="713">
        <f>transport!E18</f>
        <v>128.15336490128772</v>
      </c>
      <c r="G45" s="713">
        <f>transport!F18</f>
        <v>0</v>
      </c>
      <c r="H45" s="713">
        <f>transport!G18</f>
        <v>35513.569243701735</v>
      </c>
      <c r="I45" s="713">
        <f>transport!H18</f>
        <v>6289.3370930344108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41936.595717766315</v>
      </c>
    </row>
    <row r="46" spans="1:18" ht="15.75" thickBot="1">
      <c r="A46" s="874" t="s">
        <v>230</v>
      </c>
      <c r="B46" s="887"/>
      <c r="C46" s="749">
        <f t="shared" ref="C46:R46" ca="1" si="5">SUM(C43:C45)</f>
        <v>2.2008660057913065</v>
      </c>
      <c r="D46" s="749">
        <f t="shared" ca="1" si="5"/>
        <v>0</v>
      </c>
      <c r="E46" s="749">
        <f t="shared" si="5"/>
        <v>3.3351501230928231</v>
      </c>
      <c r="F46" s="749">
        <f t="shared" si="5"/>
        <v>128.15336490128772</v>
      </c>
      <c r="G46" s="749">
        <f t="shared" si="5"/>
        <v>0</v>
      </c>
      <c r="H46" s="749">
        <f t="shared" si="5"/>
        <v>35964.540283618247</v>
      </c>
      <c r="I46" s="749">
        <f t="shared" si="5"/>
        <v>6289.3370930344108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42387.566757682827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142.54519747276626</v>
      </c>
      <c r="D48" s="704">
        <f ca="1">+landbouw!C12</f>
        <v>0</v>
      </c>
      <c r="E48" s="704">
        <f>+landbouw!D12</f>
        <v>296.65600107870301</v>
      </c>
      <c r="F48" s="704">
        <f>+landbouw!E12</f>
        <v>1.9379604003074169</v>
      </c>
      <c r="G48" s="704">
        <f>+landbouw!F12</f>
        <v>624.11696179756029</v>
      </c>
      <c r="H48" s="704">
        <f>+landbouw!G12</f>
        <v>0</v>
      </c>
      <c r="I48" s="704">
        <f>+landbouw!H12</f>
        <v>0</v>
      </c>
      <c r="J48" s="704">
        <f>+landbouw!I12</f>
        <v>0</v>
      </c>
      <c r="K48" s="704">
        <f>+landbouw!J12</f>
        <v>36.068025409039493</v>
      </c>
      <c r="L48" s="704">
        <f>+landbouw!K12</f>
        <v>0</v>
      </c>
      <c r="M48" s="704">
        <f>+landbouw!L12</f>
        <v>0</v>
      </c>
      <c r="N48" s="704">
        <f>+landbouw!M12</f>
        <v>0</v>
      </c>
      <c r="O48" s="704">
        <f>+landbouw!N12</f>
        <v>0</v>
      </c>
      <c r="P48" s="704">
        <f>+landbouw!O12</f>
        <v>0</v>
      </c>
      <c r="Q48" s="705">
        <f>+landbouw!P12</f>
        <v>0</v>
      </c>
      <c r="R48" s="747">
        <f ca="1">SUM(C48:Q48)</f>
        <v>1101.3241461583766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18457.555691034191</v>
      </c>
      <c r="D53" s="759">
        <f t="shared" ref="D53:Q53" ca="1" si="6">D41+D46+D48</f>
        <v>0</v>
      </c>
      <c r="E53" s="759">
        <f t="shared" ca="1" si="6"/>
        <v>18672.745061272959</v>
      </c>
      <c r="F53" s="759">
        <f t="shared" si="6"/>
        <v>2728.5114522523313</v>
      </c>
      <c r="G53" s="759">
        <f t="shared" ca="1" si="6"/>
        <v>19317.78075011593</v>
      </c>
      <c r="H53" s="759">
        <f t="shared" si="6"/>
        <v>35964.540283618247</v>
      </c>
      <c r="I53" s="759">
        <f t="shared" si="6"/>
        <v>6289.3370930344108</v>
      </c>
      <c r="J53" s="759">
        <f t="shared" si="6"/>
        <v>0</v>
      </c>
      <c r="K53" s="759">
        <f t="shared" si="6"/>
        <v>37.919174117355482</v>
      </c>
      <c r="L53" s="759">
        <f t="shared" si="6"/>
        <v>0</v>
      </c>
      <c r="M53" s="759">
        <f t="shared" ca="1" si="6"/>
        <v>0</v>
      </c>
      <c r="N53" s="759">
        <f t="shared" si="6"/>
        <v>0</v>
      </c>
      <c r="O53" s="759">
        <f t="shared" ca="1" si="6"/>
        <v>0</v>
      </c>
      <c r="P53" s="759">
        <f>P41+P46+P48</f>
        <v>0</v>
      </c>
      <c r="Q53" s="760">
        <f t="shared" si="6"/>
        <v>0</v>
      </c>
      <c r="R53" s="761">
        <f ca="1">R41+R46+R48</f>
        <v>101468.38950544543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0.21040133689886262</v>
      </c>
      <c r="D55" s="824">
        <f t="shared" ca="1" si="7"/>
        <v>0</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170.3964125560538</v>
      </c>
      <c r="C65" s="781">
        <f>'lokale energieproductie'!B5</f>
        <v>170.3964125560538</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3991.7197769841678</v>
      </c>
      <c r="C66" s="781">
        <f>'lokale energieproductie'!B6</f>
        <v>3991.7197769841678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45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52.941176470588232</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4207.116189540222</v>
      </c>
      <c r="C69" s="789">
        <f>SUM(C64:C68)</f>
        <v>4207.116189540222</v>
      </c>
      <c r="D69" s="790">
        <f t="shared" ref="D69:M69" si="8">SUM(D67:D68)</f>
        <v>0</v>
      </c>
      <c r="E69" s="790">
        <f t="shared" si="8"/>
        <v>0</v>
      </c>
      <c r="F69" s="790">
        <f t="shared" si="8"/>
        <v>0</v>
      </c>
      <c r="G69" s="790">
        <f t="shared" si="8"/>
        <v>0</v>
      </c>
      <c r="H69" s="790">
        <f t="shared" si="8"/>
        <v>0</v>
      </c>
      <c r="I69" s="790">
        <f t="shared" si="8"/>
        <v>0</v>
      </c>
      <c r="J69" s="790">
        <f t="shared" si="8"/>
        <v>52.941176470588232</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50.625</v>
      </c>
      <c r="C78" s="803">
        <f>B78*IFERROR(SUM(I78:L78)/SUM(D78:M78),0)</f>
        <v>50.625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59.558823529411768</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50.625</v>
      </c>
      <c r="C81" s="789">
        <f>SUM(C78:C80)</f>
        <v>50.625</v>
      </c>
      <c r="D81" s="789">
        <f t="shared" ref="D81:P81" si="9">SUM(D78:D80)</f>
        <v>0</v>
      </c>
      <c r="E81" s="789">
        <f t="shared" si="9"/>
        <v>0</v>
      </c>
      <c r="F81" s="789">
        <f t="shared" si="9"/>
        <v>0</v>
      </c>
      <c r="G81" s="789">
        <f t="shared" si="9"/>
        <v>0</v>
      </c>
      <c r="H81" s="789">
        <f t="shared" si="9"/>
        <v>0</v>
      </c>
      <c r="I81" s="789">
        <f t="shared" si="9"/>
        <v>0</v>
      </c>
      <c r="J81" s="789">
        <f t="shared" si="9"/>
        <v>59.558823529411768</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31105.316390137708</v>
      </c>
      <c r="C4" s="463">
        <f>huishoudens!C8</f>
        <v>0</v>
      </c>
      <c r="D4" s="463">
        <f>huishoudens!D8</f>
        <v>45006.275876558131</v>
      </c>
      <c r="E4" s="463">
        <f>huishoudens!E8</f>
        <v>10080.938691288708</v>
      </c>
      <c r="F4" s="463">
        <f>huishoudens!F8</f>
        <v>54404.72084028097</v>
      </c>
      <c r="G4" s="463">
        <f>huishoudens!G8</f>
        <v>0</v>
      </c>
      <c r="H4" s="463">
        <f>huishoudens!H8</f>
        <v>0</v>
      </c>
      <c r="I4" s="463">
        <f>huishoudens!I8</f>
        <v>0</v>
      </c>
      <c r="J4" s="463">
        <f>huishoudens!J8</f>
        <v>0</v>
      </c>
      <c r="K4" s="463">
        <f>huishoudens!K8</f>
        <v>0</v>
      </c>
      <c r="L4" s="463">
        <f>huishoudens!L8</f>
        <v>0</v>
      </c>
      <c r="M4" s="463">
        <f>huishoudens!M8</f>
        <v>0</v>
      </c>
      <c r="N4" s="463">
        <f>huishoudens!N8</f>
        <v>10947.887346982692</v>
      </c>
      <c r="O4" s="463">
        <f>huishoudens!O8</f>
        <v>289.2166666666667</v>
      </c>
      <c r="P4" s="464">
        <f>huishoudens!P8</f>
        <v>705.4666666666667</v>
      </c>
      <c r="Q4" s="465">
        <f>SUM(B4:P4)</f>
        <v>152539.82247858157</v>
      </c>
    </row>
    <row r="5" spans="1:17">
      <c r="A5" s="462" t="s">
        <v>156</v>
      </c>
      <c r="B5" s="463">
        <f ca="1">tertiair!B16</f>
        <v>48650.753272658352</v>
      </c>
      <c r="C5" s="463">
        <f ca="1">tertiair!C16</f>
        <v>50.625</v>
      </c>
      <c r="D5" s="463">
        <f ca="1">tertiair!D16</f>
        <v>12138.513655119674</v>
      </c>
      <c r="E5" s="463">
        <f>tertiair!E16</f>
        <v>644.36425357103769</v>
      </c>
      <c r="F5" s="463">
        <f ca="1">tertiair!F16</f>
        <v>9845.9902929801046</v>
      </c>
      <c r="G5" s="463">
        <f>tertiair!G16</f>
        <v>0</v>
      </c>
      <c r="H5" s="463">
        <f>tertiair!H16</f>
        <v>0</v>
      </c>
      <c r="I5" s="463">
        <f>tertiair!I16</f>
        <v>0</v>
      </c>
      <c r="J5" s="463">
        <f>tertiair!J16</f>
        <v>0</v>
      </c>
      <c r="K5" s="463">
        <f>tertiair!K16</f>
        <v>0</v>
      </c>
      <c r="L5" s="463">
        <f ca="1">tertiair!L16</f>
        <v>0</v>
      </c>
      <c r="M5" s="463">
        <f>tertiair!M16</f>
        <v>0</v>
      </c>
      <c r="N5" s="463">
        <f ca="1">tertiair!N16</f>
        <v>4539.1068549161719</v>
      </c>
      <c r="O5" s="463">
        <f>tertiair!O16</f>
        <v>1.5633333333333335</v>
      </c>
      <c r="P5" s="464">
        <f>tertiair!P16</f>
        <v>0</v>
      </c>
      <c r="Q5" s="462">
        <f t="shared" ref="Q5:Q13" ca="1" si="0">SUM(B5:P5)</f>
        <v>75870.916662578675</v>
      </c>
    </row>
    <row r="6" spans="1:17">
      <c r="A6" s="462" t="s">
        <v>194</v>
      </c>
      <c r="B6" s="463">
        <f>'openbare verlichting'!B8</f>
        <v>922.17499999999995</v>
      </c>
      <c r="C6" s="463"/>
      <c r="D6" s="463"/>
      <c r="E6" s="463"/>
      <c r="F6" s="463"/>
      <c r="G6" s="463"/>
      <c r="H6" s="463"/>
      <c r="I6" s="463"/>
      <c r="J6" s="463"/>
      <c r="K6" s="463"/>
      <c r="L6" s="463"/>
      <c r="M6" s="463"/>
      <c r="N6" s="463"/>
      <c r="O6" s="463"/>
      <c r="P6" s="464"/>
      <c r="Q6" s="462">
        <f t="shared" si="0"/>
        <v>922.17499999999995</v>
      </c>
    </row>
    <row r="7" spans="1:17">
      <c r="A7" s="462" t="s">
        <v>112</v>
      </c>
      <c r="B7" s="463">
        <f>landbouw!B8</f>
        <v>677.49188086806703</v>
      </c>
      <c r="C7" s="463">
        <f>landbouw!C8</f>
        <v>0</v>
      </c>
      <c r="D7" s="463">
        <f>landbouw!D8</f>
        <v>1468.5940647460543</v>
      </c>
      <c r="E7" s="463">
        <f>landbouw!E8</f>
        <v>8.5372704859357569</v>
      </c>
      <c r="F7" s="463">
        <f>landbouw!F8</f>
        <v>2337.5167108522855</v>
      </c>
      <c r="G7" s="463">
        <f>landbouw!G8</f>
        <v>0</v>
      </c>
      <c r="H7" s="463">
        <f>landbouw!H8</f>
        <v>0</v>
      </c>
      <c r="I7" s="463">
        <f>landbouw!I8</f>
        <v>0</v>
      </c>
      <c r="J7" s="463">
        <f>landbouw!J8</f>
        <v>101.88707742666524</v>
      </c>
      <c r="K7" s="463">
        <f>landbouw!K8</f>
        <v>0</v>
      </c>
      <c r="L7" s="463">
        <f>landbouw!L8</f>
        <v>0</v>
      </c>
      <c r="M7" s="463">
        <f>landbouw!M8</f>
        <v>0</v>
      </c>
      <c r="N7" s="463">
        <f>landbouw!N8</f>
        <v>0</v>
      </c>
      <c r="O7" s="463">
        <f>landbouw!O8</f>
        <v>0</v>
      </c>
      <c r="P7" s="464">
        <f>landbouw!P8</f>
        <v>0</v>
      </c>
      <c r="Q7" s="462">
        <f t="shared" si="0"/>
        <v>4594.0270043790078</v>
      </c>
    </row>
    <row r="8" spans="1:17">
      <c r="A8" s="462" t="s">
        <v>657</v>
      </c>
      <c r="B8" s="463">
        <f>industrie!B18</f>
        <v>6359.2708657216153</v>
      </c>
      <c r="C8" s="463">
        <f>industrie!C18</f>
        <v>0</v>
      </c>
      <c r="D8" s="463">
        <f>industrie!D18</f>
        <v>33809.437745902185</v>
      </c>
      <c r="E8" s="463">
        <f>industrie!E18</f>
        <v>721.48175536376311</v>
      </c>
      <c r="F8" s="463">
        <f>industrie!F18</f>
        <v>5763.0109203657657</v>
      </c>
      <c r="G8" s="463">
        <f>industrie!G18</f>
        <v>0</v>
      </c>
      <c r="H8" s="463">
        <f>industrie!H18</f>
        <v>0</v>
      </c>
      <c r="I8" s="463">
        <f>industrie!I18</f>
        <v>0</v>
      </c>
      <c r="J8" s="463">
        <f>industrie!J18</f>
        <v>5.2292336393107055</v>
      </c>
      <c r="K8" s="463">
        <f>industrie!K18</f>
        <v>0</v>
      </c>
      <c r="L8" s="463">
        <f>industrie!L18</f>
        <v>0</v>
      </c>
      <c r="M8" s="463">
        <f>industrie!M18</f>
        <v>0</v>
      </c>
      <c r="N8" s="463">
        <f>industrie!N18</f>
        <v>1736.1928378968591</v>
      </c>
      <c r="O8" s="463">
        <f>industrie!O18</f>
        <v>0</v>
      </c>
      <c r="P8" s="464">
        <f>industrie!P18</f>
        <v>0</v>
      </c>
      <c r="Q8" s="462">
        <f t="shared" si="0"/>
        <v>48394.62335888949</v>
      </c>
    </row>
    <row r="9" spans="1:17" s="468" customFormat="1">
      <c r="A9" s="466" t="s">
        <v>574</v>
      </c>
      <c r="B9" s="467">
        <f>transport!B14</f>
        <v>10.460323295613071</v>
      </c>
      <c r="C9" s="467"/>
      <c r="D9" s="467">
        <f>transport!D14</f>
        <v>16.510644173726845</v>
      </c>
      <c r="E9" s="467">
        <f>transport!E14</f>
        <v>564.55226828761113</v>
      </c>
      <c r="F9" s="467"/>
      <c r="G9" s="467">
        <f>transport!G14</f>
        <v>133009.622635587</v>
      </c>
      <c r="H9" s="467">
        <f>transport!H14</f>
        <v>25258.381899736589</v>
      </c>
      <c r="I9" s="467"/>
      <c r="J9" s="467"/>
      <c r="K9" s="467"/>
      <c r="L9" s="467"/>
      <c r="M9" s="467">
        <f>transport!M14</f>
        <v>7155.4119597429108</v>
      </c>
      <c r="N9" s="467"/>
      <c r="O9" s="467"/>
      <c r="P9" s="467"/>
      <c r="Q9" s="466">
        <f>SUM(B9:P9)</f>
        <v>166014.93973082348</v>
      </c>
    </row>
    <row r="10" spans="1:17">
      <c r="A10" s="462" t="s">
        <v>564</v>
      </c>
      <c r="B10" s="463">
        <f>transport!B54</f>
        <v>0</v>
      </c>
      <c r="C10" s="463"/>
      <c r="D10" s="463">
        <f>transport!D54</f>
        <v>0</v>
      </c>
      <c r="E10" s="463"/>
      <c r="F10" s="463"/>
      <c r="G10" s="463">
        <f>transport!G54</f>
        <v>1689.0301120468578</v>
      </c>
      <c r="H10" s="463"/>
      <c r="I10" s="463"/>
      <c r="J10" s="463"/>
      <c r="K10" s="463"/>
      <c r="L10" s="463"/>
      <c r="M10" s="463">
        <f>transport!M54</f>
        <v>75.115300309138419</v>
      </c>
      <c r="N10" s="463"/>
      <c r="O10" s="463"/>
      <c r="P10" s="464"/>
      <c r="Q10" s="462">
        <f t="shared" si="0"/>
        <v>1764.1454123559961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87725.467732681354</v>
      </c>
      <c r="C14" s="473">
        <f t="shared" ref="C14:Q14" ca="1" si="1">SUM(C4:C13)</f>
        <v>50.625</v>
      </c>
      <c r="D14" s="473">
        <f t="shared" ca="1" si="1"/>
        <v>92439.331986499761</v>
      </c>
      <c r="E14" s="473">
        <f t="shared" si="1"/>
        <v>12019.874238997054</v>
      </c>
      <c r="F14" s="473">
        <f t="shared" ca="1" si="1"/>
        <v>72351.238764479116</v>
      </c>
      <c r="G14" s="473">
        <f t="shared" si="1"/>
        <v>134698.65274763387</v>
      </c>
      <c r="H14" s="473">
        <f t="shared" si="1"/>
        <v>25258.381899736589</v>
      </c>
      <c r="I14" s="473">
        <f t="shared" si="1"/>
        <v>0</v>
      </c>
      <c r="J14" s="473">
        <f t="shared" si="1"/>
        <v>107.11631106597595</v>
      </c>
      <c r="K14" s="473">
        <f t="shared" si="1"/>
        <v>0</v>
      </c>
      <c r="L14" s="473">
        <f t="shared" ca="1" si="1"/>
        <v>0</v>
      </c>
      <c r="M14" s="473">
        <f t="shared" si="1"/>
        <v>7230.5272600520493</v>
      </c>
      <c r="N14" s="473">
        <f t="shared" ca="1" si="1"/>
        <v>17223.187039795725</v>
      </c>
      <c r="O14" s="473">
        <f t="shared" si="1"/>
        <v>290.78000000000003</v>
      </c>
      <c r="P14" s="474">
        <f t="shared" si="1"/>
        <v>705.4666666666667</v>
      </c>
      <c r="Q14" s="474">
        <f t="shared" ca="1" si="1"/>
        <v>450100.64964760817</v>
      </c>
    </row>
    <row r="16" spans="1:17">
      <c r="A16" s="476" t="s">
        <v>569</v>
      </c>
      <c r="B16" s="829">
        <f ca="1">huishoudens!B10</f>
        <v>0.21040133689886262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6544.6001531470774</v>
      </c>
      <c r="C21" s="463">
        <f t="shared" ref="C21:C28" ca="1" si="3">C4*$C$16</f>
        <v>0</v>
      </c>
      <c r="D21" s="463">
        <f t="shared" ref="D21:D30" si="4">D4*$D$16</f>
        <v>9091.2677270647437</v>
      </c>
      <c r="E21" s="463">
        <f t="shared" ref="E21:E30" si="5">E4*$E$16</f>
        <v>2288.3730829225365</v>
      </c>
      <c r="F21" s="463">
        <f t="shared" ref="F21:F28" si="6">F4*$F$16</f>
        <v>14526.06046435502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32450.301427489379</v>
      </c>
    </row>
    <row r="22" spans="1:17">
      <c r="A22" s="462" t="s">
        <v>156</v>
      </c>
      <c r="B22" s="463">
        <f t="shared" ca="1" si="2"/>
        <v>10236.183529704032</v>
      </c>
      <c r="C22" s="463">
        <f t="shared" ca="1" si="3"/>
        <v>0</v>
      </c>
      <c r="D22" s="463">
        <f t="shared" ca="1" si="4"/>
        <v>2451.9797583341742</v>
      </c>
      <c r="E22" s="463">
        <f t="shared" si="5"/>
        <v>146.27068556062557</v>
      </c>
      <c r="F22" s="463">
        <f t="shared" ca="1" si="6"/>
        <v>2628.8794082256882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15463.313381824519</v>
      </c>
    </row>
    <row r="23" spans="1:17">
      <c r="A23" s="462" t="s">
        <v>194</v>
      </c>
      <c r="B23" s="463">
        <f t="shared" ca="1" si="2"/>
        <v>194.02685285470864</v>
      </c>
      <c r="C23" s="463"/>
      <c r="D23" s="463"/>
      <c r="E23" s="463"/>
      <c r="F23" s="463"/>
      <c r="G23" s="463"/>
      <c r="H23" s="463"/>
      <c r="I23" s="463"/>
      <c r="J23" s="463"/>
      <c r="K23" s="463"/>
      <c r="L23" s="463"/>
      <c r="M23" s="463"/>
      <c r="N23" s="463"/>
      <c r="O23" s="463"/>
      <c r="P23" s="464"/>
      <c r="Q23" s="462">
        <f t="shared" ca="1" si="17"/>
        <v>194.02685285470864</v>
      </c>
    </row>
    <row r="24" spans="1:17">
      <c r="A24" s="462" t="s">
        <v>112</v>
      </c>
      <c r="B24" s="463">
        <f t="shared" ca="1" si="2"/>
        <v>142.54519747276626</v>
      </c>
      <c r="C24" s="463">
        <f t="shared" ca="1" si="3"/>
        <v>0</v>
      </c>
      <c r="D24" s="463">
        <f t="shared" si="4"/>
        <v>296.65600107870301</v>
      </c>
      <c r="E24" s="463">
        <f t="shared" si="5"/>
        <v>1.9379604003074169</v>
      </c>
      <c r="F24" s="463">
        <f t="shared" si="6"/>
        <v>624.11696179756029</v>
      </c>
      <c r="G24" s="463">
        <f t="shared" si="7"/>
        <v>0</v>
      </c>
      <c r="H24" s="463">
        <f t="shared" si="8"/>
        <v>0</v>
      </c>
      <c r="I24" s="463">
        <f t="shared" si="9"/>
        <v>0</v>
      </c>
      <c r="J24" s="463">
        <f t="shared" si="10"/>
        <v>36.068025409039493</v>
      </c>
      <c r="K24" s="463">
        <f t="shared" si="11"/>
        <v>0</v>
      </c>
      <c r="L24" s="463">
        <f t="shared" si="12"/>
        <v>0</v>
      </c>
      <c r="M24" s="463">
        <f t="shared" si="13"/>
        <v>0</v>
      </c>
      <c r="N24" s="463">
        <f t="shared" si="14"/>
        <v>0</v>
      </c>
      <c r="O24" s="463">
        <f t="shared" si="15"/>
        <v>0</v>
      </c>
      <c r="P24" s="464">
        <f t="shared" si="16"/>
        <v>0</v>
      </c>
      <c r="Q24" s="462">
        <f t="shared" ca="1" si="17"/>
        <v>1101.3241461583766</v>
      </c>
    </row>
    <row r="25" spans="1:17">
      <c r="A25" s="462" t="s">
        <v>657</v>
      </c>
      <c r="B25" s="463">
        <f t="shared" ca="1" si="2"/>
        <v>1337.9990918498154</v>
      </c>
      <c r="C25" s="463">
        <f t="shared" ca="1" si="3"/>
        <v>0</v>
      </c>
      <c r="D25" s="463">
        <f t="shared" si="4"/>
        <v>6829.5064246722422</v>
      </c>
      <c r="E25" s="463">
        <f t="shared" si="5"/>
        <v>163.77635846757423</v>
      </c>
      <c r="F25" s="463">
        <f t="shared" si="6"/>
        <v>1538.7239157376596</v>
      </c>
      <c r="G25" s="463">
        <f t="shared" si="7"/>
        <v>0</v>
      </c>
      <c r="H25" s="463">
        <f t="shared" si="8"/>
        <v>0</v>
      </c>
      <c r="I25" s="463">
        <f t="shared" si="9"/>
        <v>0</v>
      </c>
      <c r="J25" s="463">
        <f t="shared" si="10"/>
        <v>1.8511487083159897</v>
      </c>
      <c r="K25" s="463">
        <f t="shared" si="11"/>
        <v>0</v>
      </c>
      <c r="L25" s="463">
        <f t="shared" si="12"/>
        <v>0</v>
      </c>
      <c r="M25" s="463">
        <f t="shared" si="13"/>
        <v>0</v>
      </c>
      <c r="N25" s="463">
        <f t="shared" si="14"/>
        <v>0</v>
      </c>
      <c r="O25" s="463">
        <f t="shared" si="15"/>
        <v>0</v>
      </c>
      <c r="P25" s="464">
        <f t="shared" si="16"/>
        <v>0</v>
      </c>
      <c r="Q25" s="462">
        <f t="shared" ca="1" si="17"/>
        <v>9871.8569394356073</v>
      </c>
    </row>
    <row r="26" spans="1:17" s="468" customFormat="1">
      <c r="A26" s="466" t="s">
        <v>574</v>
      </c>
      <c r="B26" s="823">
        <f t="shared" ca="1" si="2"/>
        <v>2.2008660057913065</v>
      </c>
      <c r="C26" s="467"/>
      <c r="D26" s="467">
        <f t="shared" si="4"/>
        <v>3.3351501230928231</v>
      </c>
      <c r="E26" s="467">
        <f t="shared" si="5"/>
        <v>128.15336490128772</v>
      </c>
      <c r="F26" s="467"/>
      <c r="G26" s="467">
        <f t="shared" si="7"/>
        <v>35513.569243701735</v>
      </c>
      <c r="H26" s="467">
        <f t="shared" si="8"/>
        <v>6289.3370930344108</v>
      </c>
      <c r="I26" s="467"/>
      <c r="J26" s="467"/>
      <c r="K26" s="467"/>
      <c r="L26" s="467"/>
      <c r="M26" s="467">
        <f t="shared" si="13"/>
        <v>0</v>
      </c>
      <c r="N26" s="467"/>
      <c r="O26" s="467"/>
      <c r="P26" s="478"/>
      <c r="Q26" s="466">
        <f t="shared" ca="1" si="17"/>
        <v>41936.595717766315</v>
      </c>
    </row>
    <row r="27" spans="1:17">
      <c r="A27" s="462" t="s">
        <v>564</v>
      </c>
      <c r="B27" s="463">
        <f t="shared" ca="1" si="2"/>
        <v>0</v>
      </c>
      <c r="C27" s="463"/>
      <c r="D27" s="467">
        <f t="shared" si="4"/>
        <v>0</v>
      </c>
      <c r="E27" s="463"/>
      <c r="F27" s="463"/>
      <c r="G27" s="463">
        <f t="shared" si="7"/>
        <v>450.97103991651107</v>
      </c>
      <c r="H27" s="463"/>
      <c r="I27" s="463"/>
      <c r="J27" s="463"/>
      <c r="K27" s="463"/>
      <c r="L27" s="463"/>
      <c r="M27" s="463">
        <f t="shared" si="13"/>
        <v>0</v>
      </c>
      <c r="N27" s="463"/>
      <c r="O27" s="463"/>
      <c r="P27" s="464"/>
      <c r="Q27" s="462">
        <f t="shared" ca="1" si="17"/>
        <v>450.97103991651107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18457.555691034191</v>
      </c>
      <c r="C31" s="473">
        <f t="shared" ca="1" si="18"/>
        <v>0</v>
      </c>
      <c r="D31" s="473">
        <f t="shared" ca="1" si="18"/>
        <v>18672.745061272959</v>
      </c>
      <c r="E31" s="473">
        <f t="shared" si="18"/>
        <v>2728.5114522523313</v>
      </c>
      <c r="F31" s="473">
        <f t="shared" ca="1" si="18"/>
        <v>19317.78075011593</v>
      </c>
      <c r="G31" s="473">
        <f t="shared" si="18"/>
        <v>35964.540283618247</v>
      </c>
      <c r="H31" s="473">
        <f t="shared" si="18"/>
        <v>6289.3370930344108</v>
      </c>
      <c r="I31" s="473">
        <f t="shared" si="18"/>
        <v>0</v>
      </c>
      <c r="J31" s="473">
        <f t="shared" si="18"/>
        <v>37.919174117355482</v>
      </c>
      <c r="K31" s="473">
        <f t="shared" si="18"/>
        <v>0</v>
      </c>
      <c r="L31" s="473">
        <f t="shared" ca="1" si="18"/>
        <v>0</v>
      </c>
      <c r="M31" s="473">
        <f t="shared" si="18"/>
        <v>0</v>
      </c>
      <c r="N31" s="473">
        <f t="shared" ca="1" si="18"/>
        <v>0</v>
      </c>
      <c r="O31" s="473">
        <f t="shared" si="18"/>
        <v>0</v>
      </c>
      <c r="P31" s="474">
        <f t="shared" si="18"/>
        <v>0</v>
      </c>
      <c r="Q31" s="474">
        <f t="shared" ca="1" si="18"/>
        <v>101468.3895054454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0.21040133689886262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0.21040133689886262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0.21040133689886262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2019-01-02T18:03:29Z</dcterms:modified>
</cp:coreProperties>
</file>