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Q4"/>
  <c r="N22"/>
  <c r="R11" i="14"/>
  <c r="J21" i="48"/>
  <c r="R10" i="14"/>
  <c r="C29" i="20" l="1"/>
  <c r="C17" i="19"/>
  <c r="C19" s="1"/>
  <c r="D35" i="14" s="1"/>
  <c r="C20" i="16"/>
  <c r="C22" s="1"/>
  <c r="D39" i="14" s="1"/>
  <c r="C18" i="15"/>
  <c r="C20" s="1"/>
  <c r="D36" i="14" s="1"/>
  <c r="C10" i="13"/>
  <c r="C16" i="48" s="1"/>
  <c r="C16" i="22"/>
  <c r="C10" i="17"/>
  <c r="C12" s="1"/>
  <c r="D48" i="14" s="1"/>
  <c r="C56" i="22"/>
  <c r="C58" s="1"/>
  <c r="D44" i="14" s="1"/>
  <c r="D46" s="1"/>
  <c r="C17" i="49"/>
  <c r="O13" i="14"/>
  <c r="O15" s="1"/>
  <c r="N55"/>
  <c r="N22" i="16"/>
  <c r="O39" i="14" s="1"/>
  <c r="O41" s="1"/>
  <c r="K13"/>
  <c r="K15" s="1"/>
  <c r="K23" s="1"/>
  <c r="N25" i="48"/>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K55" i="14"/>
  <c r="R13"/>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<sst xmlns="http://schemas.openxmlformats.org/spreadsheetml/2006/main" count="2160" uniqueCount="884">
  <si>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</si>
  <si>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</si>
  <si>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</si>
  <si>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</si>
  <si>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</si>
  <si>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</si>
  <si>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</si>
  <si>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</si>
  <si>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</si>
  <si>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</si>
  <si>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</si>
  <si>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</si>
  <si>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</si>
  <si>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</si>
  <si>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</si>
  <si>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</si>
  <si>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</si>
  <si>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</si>
  <si>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</si>
  <si>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</si>
  <si>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</si>
  <si>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</si>
  <si>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</si>
  <si>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</si>
  <si>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</si>
  <si>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</si>
  <si>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</si>
  <si>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</si>
  <si>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</si>
  <si>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</si>
  <si>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</si>
  <si>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</si>
  <si>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</si>
  <si>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</si>
  <si>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</si>
  <si>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</si>
  <si>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</si>
  <si>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</si>
  <si>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</si>
  <si>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</si>
  <si>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</si>
  <si>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</si>
  <si>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</si>
  <si>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</si>
  <si>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</si>
  <si>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</si>
  <si>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</si>
  <si>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</si>
  <si>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</si>
  <si>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</si>
  <si>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</si>
  <si>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</si>
  <si>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</si>
  <si>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</si>
  <si>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</si>
  <si>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</si>
  <si>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</si>
  <si>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</si>
  <si>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</si>
  <si>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</si>
  <si>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</si>
  <si>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</si>
  <si>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</si>
  <si>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</si>
  <si>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</si>
  <si>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</si>
  <si>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</si>
  <si>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</si>
  <si>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</si>
  <si>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</si>
  <si>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</si>
  <si>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</si>
  <si>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</si>
  <si>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</si>
  <si>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</si>
  <si>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</si>
  <si>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</si>
  <si>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</si>
  <si>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</si>
  <si>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</si>
  <si>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</si>
  <si>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</si>
  <si>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</si>
  <si>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</si>
  <si>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</si>
  <si>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</si>
  <si>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</si>
  <si>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</si>
  <si>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</si>
  <si>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</si>
  <si>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</si>
  <si>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</si>
  <si>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</si>
  <si>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</si>
  <si>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</si>
  <si>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</si>
  <si>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</si>
  <si>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</si>
  <si>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</si>
  <si>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</si>
  <si>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</si>
  <si>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</si>
  <si>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</si>
  <si>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</si>
  <si>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</si>
  <si>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</si>
  <si>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</si>
  <si>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</si>
  <si>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</si>
  <si>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</si>
  <si>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</si>
  <si>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</si>
  <si>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</si>
  <si>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</si>
  <si>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</si>
  <si>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</si>
  <si>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</si>
  <si>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</si>
  <si>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</si>
  <si>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</si>
  <si>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</si>
  <si>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</si>
  <si>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</si>
  <si>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</si>
  <si>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</si>
  <si>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</si>
  <si>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</si>
  <si>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</si>
  <si>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</si>
  <si>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</si>
  <si>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</si>
  <si>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</si>
  <si>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</si>
  <si>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</si>
  <si>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</si>
  <si>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</si>
  <si>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</si>
  <si>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</si>
  <si>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</si>
  <si>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</si>
  <si>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</si>
  <si>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</si>
  <si>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</si>
  <si>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</si>
  <si>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</si>
  <si>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</si>
  <si>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</si>
  <si>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</si>
  <si>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</si>
  <si>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</si>
  <si>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</si>
  <si>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</si>
  <si>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</si>
  <si>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</si>
  <si>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</si>
  <si>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</si>
  <si>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</si>
  <si>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</si>
  <si>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</si>
  <si>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</si>
  <si>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</si>
  <si>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</si>
  <si>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</si>
  <si>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</si>
  <si>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</si>
  <si>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</si>
  <si>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</si>
  <si>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</si>
  <si>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</si>
  <si>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</si>
  <si>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</si>
  <si>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</si>
  <si>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</si>
  <si>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</si>
  <si>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</si>
  <si>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</si>
  <si>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</si>
  <si>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</si>
  <si>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</si>
  <si>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</si>
  <si>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</si>
  <si>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</si>
  <si>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</si>
  <si>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</si>
  <si>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</si>
  <si>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</si>
  <si>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</si>
  <si>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</si>
  <si>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</si>
  <si>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</si>
  <si>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</si>
  <si>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</si>
  <si>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</si>
  <si>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</si>
  <si>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</si>
  <si>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</si>
  <si>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</si>
  <si>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</si>
  <si>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</si>
  <si>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</si>
  <si>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</si>
  <si>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</si>
  <si>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</si>
  <si>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</si>
  <si>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</si>
  <si>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</si>
  <si>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</si>
  <si>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</si>
  <si>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</si>
  <si>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</si>
  <si>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</si>
  <si>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</si>
  <si>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</si>
  <si>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</si>
  <si>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</si>
  <si>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</si>
  <si>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</si>
  <si>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</si>
  <si>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</si>
  <si>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</si>
  <si>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</si>
  <si>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</si>
  <si>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</si>
  <si>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</si>
  <si>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</si>
  <si>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</si>
  <si>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</si>
  <si>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</si>
  <si>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</si>
  <si>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</si>
  <si>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</si>
  <si>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</si>
  <si>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</si>
  <si>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</si>
  <si>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</si>
  <si>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</si>
  <si>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</si>
  <si>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</si>
  <si>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</si>
  <si>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</si>
  <si>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</si>
  <si>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</si>
  <si>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</si>
  <si>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</si>
  <si>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</si>
  <si>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</si>
  <si>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</si>
  <si>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</si>
  <si>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</si>
  <si>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</si>
  <si>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</si>
  <si>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</si>
  <si>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</si>
  <si>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</si>
  <si>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</si>
  <si>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</si>
  <si>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</si>
  <si>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</si>
  <si>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</si>
  <si>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</si>
  <si>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</si>
  <si>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</si>
  <si>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</si>
  <si>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</si>
  <si>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</si>
  <si>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</si>
  <si>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</si>
  <si>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</si>
  <si>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</si>
  <si>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</si>
  <si>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</si>
  <si>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</si>
  <si>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</si>
  <si>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</si>
  <si>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</si>
  <si>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</si>
  <si>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</si>
  <si>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</si>
  <si>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</si>
  <si>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</si>
  <si>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</si>
  <si>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</si>
  <si>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</si>
  <si>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</si>
  <si>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</si>
  <si>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</si>
  <si>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</si>
  <si>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</si>
  <si>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</si>
  <si>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</si>
  <si>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</si>
  <si>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</si>
  <si>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</si>
  <si>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</si>
  <si>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</si>
  <si>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</si>
  <si>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</si>
  <si>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</si>
  <si>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</si>
  <si>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</si>
  <si>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</si>
  <si>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</si>
  <si>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</si>
  <si>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</si>
  <si>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</si>
  <si>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</si>
  <si>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</si>
  <si>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</si>
  <si>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</si>
  <si>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</si>
  <si>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</si>
  <si>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</si>
  <si>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</si>
  <si>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</si>
  <si>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</si>
  <si>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</si>
  <si>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</si>
  <si>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</si>
  <si>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</si>
  <si>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</si>
  <si>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</si>
  <si>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</si>
  <si>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</si>
  <si>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</si>
  <si>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</si>
  <si>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</si>
  <si>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</si>
  <si>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</si>
  <si>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</si>
  <si>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</si>
  <si>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</si>
  <si>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</si>
  <si>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</si>
  <si>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</si>
  <si>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</si>
  <si>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</si>
  <si>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</si>
  <si>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</si>
  <si>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</si>
  <si>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</si>
  <si>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</si>
  <si>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</si>
  <si>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</si>
  <si>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</si>
  <si>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</si>
  <si>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</si>
  <si>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</si>
  <si>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</si>
  <si>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</si>
  <si>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</si>
  <si>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</si>
  <si>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</si>
  <si>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</si>
  <si>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</si>
  <si>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</si>
  <si>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</si>
  <si>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</si>
  <si>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</si>
  <si>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</si>
  <si>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</si>
  <si>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</si>
  <si>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</si>
  <si>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</si>
  <si>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</si>
  <si>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</si>
  <si>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</si>
  <si>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</si>
  <si>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</si>
  <si>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</si>
  <si>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</si>
  <si>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</si>
  <si>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</si>
  <si>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</si>
  <si>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</si>
  <si>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</si>
  <si>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</si>
  <si>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</si>
  <si>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</si>
  <si>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</si>
  <si>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</si>
  <si>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</si>
  <si>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</si>
  <si>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</si>
  <si>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</si>
  <si>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</si>
  <si>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</si>
  <si>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</si>
  <si>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</si>
  <si>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</si>
  <si>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</si>
  <si>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</si>
  <si>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</si>
  <si>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</si>
  <si>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</si>
  <si>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</si>
  <si>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</si>
  <si>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</si>
  <si>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</si>
  <si>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</si>
  <si>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</si>
  <si>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</si>
  <si>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</si>
  <si>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</si>
  <si>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</si>
  <si>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</si>
  <si>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</si>
  <si>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</si>
  <si>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</si>
  <si>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</si>
  <si>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</si>
  <si>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</si>
  <si>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</si>
  <si>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</si>
  <si>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</si>
  <si>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</si>
  <si>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</si>
  <si>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</si>
  <si>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</si>
  <si>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</si>
  <si>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</si>
  <si>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</si>
  <si>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</si>
  <si>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</si>
  <si>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</si>
  <si>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</si>
  <si>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</si>
  <si>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</si>
  <si>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</si>
  <si>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</si>
  <si>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</si>
  <si>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</si>
  <si>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</si>
  <si>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</si>
  <si>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</si>
  <si>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</si>
  <si>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</si>
  <si>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</si>
  <si>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</si>
  <si>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</si>
  <si>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</si>
  <si>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</si>
  <si>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</si>
  <si>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</si>
  <si>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</si>
  <si>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</si>
  <si>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</si>
  <si>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</si>
  <si>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</si>
  <si>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</si>
  <si>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</si>
  <si>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</si>
  <si>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</si>
  <si>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</si>
  <si>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</si>
  <si>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</si>
  <si>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</si>
  <si>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</si>
  <si>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</si>
  <si>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</si>
  <si>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</si>
  <si>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</si>
  <si>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</si>
  <si>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</si>
  <si>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</si>
  <si>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</si>
  <si>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</si>
  <si>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</si>
  <si>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</si>
  <si>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</si>
  <si>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</si>
  <si>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</si>
  <si>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</si>
  <si>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</si>
  <si>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</si>
  <si>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</si>
  <si>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</si>
  <si>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</si>
  <si>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</si>
  <si>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</si>
  <si>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</si>
  <si>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</si>
  <si>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</si>
  <si>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</si>
  <si>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</si>
  <si>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</si>
  <si>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</si>
  <si>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</si>
  <si>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</si>
  <si>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</si>
  <si>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</si>
  <si>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</si>
  <si>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</si>
  <si>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</si>
  <si>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</si>
  <si>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</si>
  <si>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</si>
  <si>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</si>
  <si>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</si>
  <si>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</si>
  <si>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</si>
  <si>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</si>
  <si>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</si>
  <si>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</si>
  <si>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</si>
  <si>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</si>
  <si>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</si>
  <si>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</si>
  <si>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</si>
  <si>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</si>
  <si>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</si>
  <si>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</si>
  <si>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</si>
  <si>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</si>
  <si>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</si>
  <si>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</si>
  <si>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</si>
  <si>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</si>
  <si>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</si>
  <si>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</si>
  <si>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</si>
  <si>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</si>
  <si>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</si>
  <si>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</si>
  <si>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</si>
  <si>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</si>
  <si>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</si>
  <si>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</si>
  <si>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</si>
  <si>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</si>
  <si>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</si>
  <si>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</si>
  <si>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</si>
  <si>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</si>
  <si>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</si>
  <si>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</si>
  <si>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</si>
  <si>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</si>
  <si>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</si>
  <si>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</si>
  <si>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</si>
  <si>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</si>
  <si>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</si>
  <si>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</si>
  <si>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</si>
  <si>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</si>
  <si>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</si>
  <si>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</si>
  <si>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</si>
  <si>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</si>
  <si>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</si>
  <si>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</si>
  <si>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</si>
  <si>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</si>
  <si>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</si>
  <si>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</si>
  <si>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</si>
  <si>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</si>
  <si>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</si>
  <si>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</si>
  <si>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</si>
  <si>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</si>
  <si>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</si>
  <si>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</si>
  <si>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</si>
  <si>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</si>
  <si>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</si>
  <si>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</si>
  <si>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</si>
  <si>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</si>
  <si>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</si>
  <si>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</si>
  <si>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</si>
  <si>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</si>
  <si>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</si>
  <si>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</si>
  <si>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</si>
  <si>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</si>
  <si>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</si>
  <si>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</si>
  <si>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</si>
  <si>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</si>
  <si>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</si>
  <si>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</si>
  <si>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</si>
  <si>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</si>
  <si>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</si>
  <si>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</si>
  <si>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</si>
  <si>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</si>
  <si>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</si>
  <si>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</si>
  <si>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</si>
  <si>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</si>
  <si>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</si>
  <si>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</si>
  <si>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</si>
  <si>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</si>
  <si>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</si>
  <si>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</si>
  <si>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</si>
  <si>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</si>
  <si>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</si>
  <si>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</si>
  <si>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</si>
  <si>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</si>
  <si>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</si>
  <si>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</si>
  <si>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</si>
  <si>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</si>
  <si>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</si>
  <si>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</si>
  <si>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</si>
  <si>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</si>
  <si>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</si>
  <si>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</si>
  <si>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</si>
  <si>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</si>
  <si>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</si>
  <si>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</si>
  <si>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</si>
  <si>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</si>
  <si>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</si>
  <si>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</si>
  <si>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</si>
  <si>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</si>
  <si>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</si>
  <si>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</si>
  <si>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</si>
  <si>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</si>
  <si>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</si>
  <si>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</si>
  <si>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</si>
  <si>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</si>
  <si>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</si>
  <si>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</si>
  <si>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</si>
  <si>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</si>
  <si>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</si>
  <si>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</si>
  <si>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</si>
  <si>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</si>
  <si>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</si>
  <si>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</si>
  <si>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</si>
  <si>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</si>
  <si>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</si>
  <si>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</si>
  <si>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</si>
  <si>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</si>
  <si>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</si>
  <si>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</si>
  <si>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</si>
  <si>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</si>
  <si>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</si>
  <si>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</si>
  <si>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</si>
  <si>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</si>
  <si>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</si>
  <si>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</si>
  <si>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</si>
  <si>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</si>
  <si>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</si>
  <si>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</si>
  <si>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</si>
  <si>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</si>
  <si>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</si>
  <si>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</si>
  <si>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</si>
  <si>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</si>
  <si>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</si>
  <si>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</si>
  <si>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</si>
  <si>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</si>
  <si>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</si>
  <si>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</si>
  <si>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</si>
  <si>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</si>
  <si>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</si>
  <si>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</si>
  <si>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</si>
  <si>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</si>
  <si>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</si>
  <si>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</si>
  <si>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</si>
  <si>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</si>
  <si>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</si>
  <si>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</si>
  <si>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</si>
  <si>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</si>
  <si>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</si>
  <si>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</si>
  <si>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</si>
  <si>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</si>
  <si>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</si>
  <si>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</si>
  <si>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</si>
  <si>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</si>
  <si>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</si>
  <si>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</si>
  <si>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</si>
  <si>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</si>
  <si>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</si>
  <si>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</si>
  <si>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</si>
  <si>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</si>
  <si>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</si>
  <si>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</si>
  <si>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</si>
  <si>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</si>
  <si>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</si>
  <si>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</si>
  <si>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</si>
  <si>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</si>
  <si>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</si>
  <si>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</si>
  <si>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</si>
  <si>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</si>
  <si>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</si>
  <si>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</si>
  <si>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</si>
  <si>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</si>
  <si>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</si>
  <si>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</si>
  <si>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</si>
  <si>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</si>
  <si>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</si>
  <si>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</si>
  <si>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</si>
  <si>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</si>
  <si>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</si>
  <si>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</si>
  <si>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</si>
  <si>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</si>
  <si>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</si>
  <si>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</si>
  <si>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</si>
  <si>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</si>
  <si>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</si>
  <si>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</si>
  <si>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</si>
  <si>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</si>
  <si>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</si>
  <si>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</si>
  <si>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</si>
  <si>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</si>
  <si>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</si>
  <si>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</si>
  <si>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</si>
  <si>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</si>
  <si>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</si>
  <si>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</si>
  <si>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</si>
  <si>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</si>
  <si>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</si>
  <si>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</si>
  <si>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</si>
  <si>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</si>
  <si>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</si>
  <si>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</si>
  <si>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</si>
  <si>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</si>
  <si>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</si>
  <si>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</si>
  <si>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</si>
  <si>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</si>
  <si>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</si>
  <si>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</si>
  <si>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</si>
  <si>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</si>
  <si>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</si>
  <si>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</si>
  <si>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</si>
  <si>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</si>
  <si>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</si>
  <si>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</si>
  <si>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</si>
  <si>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</si>
  <si>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</si>
  <si>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</si>
  <si>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</si>
  <si>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</si>
  <si>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</si>
  <si>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</si>
  <si>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</si>
  <si>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</si>
  <si>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</si>
  <si>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</si>
  <si>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</si>
  <si>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</si>
  <si>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</si>
  <si>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</si>
  <si>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</si>
  <si>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</si>
  <si>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</si>
  <si>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</si>
  <si>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</si>
  <si>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</si>
  <si>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</si>
  <si>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</si>
  <si>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</si>
  <si>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</si>
  <si>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</si>
  <si>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</si>
  <si>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</si>
  <si>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</si>
  <si>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</si>
  <si>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</si>
  <si>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</si>
  <si>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</si>
  <si>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</si>
  <si>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</si>
  <si>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</si>
  <si>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</si>
  <si>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</si>
  <si>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</si>
  <si>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</si>
  <si>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</si>
  <si>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</si>
  <si>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</si>
  <si>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</si>
  <si>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</si>
  <si>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</si>
  <si>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</si>
  <si>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</si>
  <si>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</si>
  <si>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</si>
  <si>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</si>
  <si>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</si>
  <si>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</si>
  <si>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</si>
  <si>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</si>
  <si>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</si>
  <si>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</si>
  <si>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</si>
  <si>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</si>
  <si>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</si>
  <si>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</si>
  <si>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</si>
  <si>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</si>
  <si>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</si>
  <si>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</si>
  <si>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</si>
  <si>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</si>
  <si>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</si>
  <si>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</si>
  <si>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</si>
  <si>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</si>
  <si>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</si>
  <si>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</si>
  <si>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</si>
  <si>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</si>
  <si>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</si>
  <si>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</si>
  <si>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</si>
  <si>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</si>
  <si>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</si>
  <si>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</si>
  <si>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</si>
  <si>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</si>
  <si>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</si>
  <si>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</si>
  <si>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</si>
  <si>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</si>
  <si>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</si>
  <si>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</si>
  <si>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</si>
  <si>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</si>
  <si>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</si>
  <si>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</si>
  <si>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</si>
  <si>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</si>
  <si>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24038</t>
  </si>
  <si>
    <t>HERENT</t>
  </si>
  <si>
    <t>Cultuurgrond (ha)</t>
  </si>
  <si>
    <t>Paarden&amp;pony's 200 - 600 kg</t>
  </si>
  <si>
    <t>Paarden&amp;pony's &lt; 200 kg</t>
  </si>
  <si>
    <t>op basis van VEA (maart 2018) en Inventaris Hernieuwbare Energiebronnen (juni 2018)</t>
  </si>
  <si>
    <t>VEA (juni 2018)</t>
  </si>
  <si>
    <t>Middendorp Ronny</t>
  </si>
  <si>
    <t>Molenweg 11 , 3020 Veltem-Beisem</t>
  </si>
  <si>
    <t>WKK-0215 Middendorp Ronny</t>
  </si>
  <si>
    <t>interne verbrandingsmotor</t>
  </si>
  <si>
    <t>WKK interne verbrandinsgmotor (gas)</t>
  </si>
  <si>
    <t>IVERLEK</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</si>
</sst>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174012.19611203027</c:v>
                </c:pt>
                <c:pt idx="1">
                  <c:v>49583.326092195806</c:v>
                </c:pt>
                <c:pt idx="2">
                  <c:v>1538.049</c:v>
                </c:pt>
                <c:pt idx="3">
                  <c:v>15611.292828295445</c:v>
                </c:pt>
                <c:pt idx="4">
                  <c:v>24170.791114346477</c:v>
                </c:pt>
                <c:pt idx="5">
                  <c:v>96539.77177224867</c:v>
                </c:pt>
                <c:pt idx="6">
                  <c:v>5060.4956865378772</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291840"/>
        <c:axId val="182293632"/>
      </c:barChart>
      <c:catAx>
        <c:axId val="182291840"/>
        <c:scaling>
          <c:orientation val="minMax"/>
        </c:scaling>
        <c:axPos val="b"/>
        <c:numFmt formatCode="General" sourceLinked="0"/>
        <c:tickLblPos val="nextTo"/>
        <c:crossAx val="182293632"/>
        <c:crosses val="autoZero"/>
        <c:auto val="1"/>
        <c:lblAlgn val="ctr"/>
        <c:lblOffset val="100"/>
      </c:catAx>
      <c:valAx>
        <c:axId val="182293632"/>
        <c:scaling>
          <c:orientation val="minMax"/>
        </c:scaling>
        <c:axPos val="l"/>
        <c:majorGridlines/>
        <c:numFmt formatCode="#,##0" sourceLinked="1"/>
        <c:tickLblPos val="nextTo"/>
        <c:crossAx val="1822918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174012.19611203027</c:v>
                </c:pt>
                <c:pt idx="1">
                  <c:v>49583.326092195806</c:v>
                </c:pt>
                <c:pt idx="2">
                  <c:v>1538.049</c:v>
                </c:pt>
                <c:pt idx="3">
                  <c:v>15611.292828295445</c:v>
                </c:pt>
                <c:pt idx="4">
                  <c:v>24170.791114346477</c:v>
                </c:pt>
                <c:pt idx="5">
                  <c:v>96539.77177224867</c:v>
                </c:pt>
                <c:pt idx="6">
                  <c:v>5060.4956865378772</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34844.070377289681</c:v>
                </c:pt>
                <c:pt idx="1">
                  <c:v>10022.278106229547</c:v>
                </c:pt>
                <c:pt idx="2">
                  <c:v>321.74959724759708</c:v>
                </c:pt>
                <c:pt idx="3">
                  <c:v>3762.0598881254814</c:v>
                </c:pt>
                <c:pt idx="4">
                  <c:v>4449.0775625364977</c:v>
                </c:pt>
                <c:pt idx="5">
                  <c:v>24358.371945381026</c:v>
                </c:pt>
                <c:pt idx="6">
                  <c:v>1293.6218217993928</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84896"/>
        <c:axId val="182411264"/>
      </c:barChart>
      <c:catAx>
        <c:axId val="182384896"/>
        <c:scaling>
          <c:orientation val="minMax"/>
        </c:scaling>
        <c:axPos val="b"/>
        <c:numFmt formatCode="General" sourceLinked="0"/>
        <c:tickLblPos val="nextTo"/>
        <c:crossAx val="182411264"/>
        <c:crosses val="autoZero"/>
        <c:auto val="1"/>
        <c:lblAlgn val="ctr"/>
        <c:lblOffset val="100"/>
      </c:catAx>
      <c:valAx>
        <c:axId val="182411264"/>
        <c:scaling>
          <c:orientation val="minMax"/>
        </c:scaling>
        <c:axPos val="l"/>
        <c:majorGridlines/>
        <c:numFmt formatCode="#,##0" sourceLinked="1"/>
        <c:tickLblPos val="nextTo"/>
        <c:crossAx val="1823848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34844.070377289681</c:v>
                </c:pt>
                <c:pt idx="1">
                  <c:v>10022.278106229547</c:v>
                </c:pt>
                <c:pt idx="2">
                  <c:v>321.74959724759708</c:v>
                </c:pt>
                <c:pt idx="3">
                  <c:v>3762.0598881254814</c:v>
                </c:pt>
                <c:pt idx="4">
                  <c:v>4449.0775625364977</c:v>
                </c:pt>
                <c:pt idx="5">
                  <c:v>24358.371945381026</c:v>
                </c:pt>
                <c:pt idx="6">
                  <c:v>1293.6218217993928</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24038</v>
      </c>
      <c r="B6" s="398"/>
      <c r="C6" s="399"/>
    </row>
    <row r="7" spans="1:7" s="396" customFormat="1" ht="15.75" customHeight="1">
      <c r="A7" s="400" t="str">
        <f>txtMunicipality</f>
        <v>HERENT</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24038</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8167</v>
      </c>
      <c r="C9" s="338">
        <v>8302</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1453</v>
      </c>
    </row>
    <row r="15" spans="1:6">
      <c r="A15" s="1269" t="s">
        <v>184</v>
      </c>
      <c r="B15" s="335">
        <v>4</v>
      </c>
    </row>
    <row r="16" spans="1:6">
      <c r="A16" s="1269" t="s">
        <v>6</v>
      </c>
      <c r="B16" s="335">
        <v>54</v>
      </c>
    </row>
    <row r="17" spans="1:6">
      <c r="A17" s="1269" t="s">
        <v>7</v>
      </c>
      <c r="B17" s="335">
        <v>373</v>
      </c>
    </row>
    <row r="18" spans="1:6">
      <c r="A18" s="1269" t="s">
        <v>8</v>
      </c>
      <c r="B18" s="335">
        <v>412</v>
      </c>
    </row>
    <row r="19" spans="1:6">
      <c r="A19" s="1269" t="s">
        <v>9</v>
      </c>
      <c r="B19" s="335">
        <v>327</v>
      </c>
    </row>
    <row r="20" spans="1:6">
      <c r="A20" s="1269" t="s">
        <v>10</v>
      </c>
      <c r="B20" s="335">
        <v>164</v>
      </c>
    </row>
    <row r="21" spans="1:6">
      <c r="A21" s="1269" t="s">
        <v>11</v>
      </c>
      <c r="B21" s="335">
        <v>0</v>
      </c>
    </row>
    <row r="22" spans="1:6">
      <c r="A22" s="1269" t="s">
        <v>12</v>
      </c>
      <c r="B22" s="335">
        <v>1</v>
      </c>
    </row>
    <row r="23" spans="1:6">
      <c r="A23" s="1269" t="s">
        <v>13</v>
      </c>
      <c r="B23" s="335">
        <v>0</v>
      </c>
    </row>
    <row r="24" spans="1:6">
      <c r="A24" s="1269" t="s">
        <v>14</v>
      </c>
      <c r="B24" s="335">
        <v>1</v>
      </c>
    </row>
    <row r="25" spans="1:6">
      <c r="A25" s="1269" t="s">
        <v>15</v>
      </c>
      <c r="B25" s="335">
        <v>2</v>
      </c>
    </row>
    <row r="26" spans="1:6">
      <c r="A26" s="1269" t="s">
        <v>16</v>
      </c>
      <c r="B26" s="335">
        <v>177</v>
      </c>
    </row>
    <row r="27" spans="1:6">
      <c r="A27" s="1269" t="s">
        <v>17</v>
      </c>
      <c r="B27" s="335">
        <v>7</v>
      </c>
    </row>
    <row r="28" spans="1:6" s="341" customFormat="1">
      <c r="A28" s="1270" t="s">
        <v>18</v>
      </c>
      <c r="B28" s="1270">
        <v>0</v>
      </c>
    </row>
    <row r="29" spans="1:6">
      <c r="A29" s="1270" t="s">
        <v>874</v>
      </c>
      <c r="B29" s="1270">
        <v>79</v>
      </c>
      <c r="C29" s="341"/>
      <c r="D29" s="341"/>
      <c r="E29" s="341"/>
      <c r="F29" s="341"/>
    </row>
    <row r="30" spans="1:6">
      <c r="A30" s="1265" t="s">
        <v>875</v>
      </c>
      <c r="B30" s="1265">
        <v>31</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4</v>
      </c>
      <c r="F35" s="335">
        <v>657806.80679760303</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2</v>
      </c>
      <c r="D38" s="335">
        <v>43498.050228935201</v>
      </c>
      <c r="E38" s="335">
        <v>2</v>
      </c>
      <c r="F38" s="335">
        <v>6738.8845444214003</v>
      </c>
    </row>
    <row r="39" spans="1:6">
      <c r="A39" s="1269" t="s">
        <v>30</v>
      </c>
      <c r="B39" s="1269" t="s">
        <v>31</v>
      </c>
      <c r="C39" s="335">
        <v>5237</v>
      </c>
      <c r="D39" s="335">
        <v>99971446.423604697</v>
      </c>
      <c r="E39" s="335">
        <v>8013</v>
      </c>
      <c r="F39" s="335">
        <v>33063661.913233999</v>
      </c>
    </row>
    <row r="40" spans="1:6">
      <c r="A40" s="1269" t="s">
        <v>30</v>
      </c>
      <c r="B40" s="1269" t="s">
        <v>29</v>
      </c>
      <c r="C40" s="335">
        <v>0</v>
      </c>
      <c r="D40" s="335">
        <v>0</v>
      </c>
      <c r="E40" s="335">
        <v>0</v>
      </c>
      <c r="F40" s="335">
        <v>0</v>
      </c>
    </row>
    <row r="41" spans="1:6">
      <c r="A41" s="1269" t="s">
        <v>32</v>
      </c>
      <c r="B41" s="1269" t="s">
        <v>33</v>
      </c>
      <c r="C41" s="335">
        <v>29</v>
      </c>
      <c r="D41" s="335">
        <v>1035906.52770107</v>
      </c>
      <c r="E41" s="335">
        <v>78</v>
      </c>
      <c r="F41" s="335">
        <v>1252438.7606021799</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4</v>
      </c>
      <c r="F44" s="335">
        <v>58254.5194434964</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4</v>
      </c>
      <c r="D47" s="335">
        <v>172695.100234368</v>
      </c>
      <c r="E47" s="335">
        <v>10</v>
      </c>
      <c r="F47" s="335">
        <v>712505.47182023001</v>
      </c>
    </row>
    <row r="48" spans="1:6">
      <c r="A48" s="1269" t="s">
        <v>32</v>
      </c>
      <c r="B48" s="1269" t="s">
        <v>29</v>
      </c>
      <c r="C48" s="335">
        <v>23</v>
      </c>
      <c r="D48" s="335">
        <v>5007784.0627341196</v>
      </c>
      <c r="E48" s="335">
        <v>33</v>
      </c>
      <c r="F48" s="335">
        <v>8553657.7788138408</v>
      </c>
    </row>
    <row r="49" spans="1:6">
      <c r="A49" s="1269" t="s">
        <v>32</v>
      </c>
      <c r="B49" s="1269" t="s">
        <v>40</v>
      </c>
      <c r="C49" s="335">
        <v>0</v>
      </c>
      <c r="D49" s="335">
        <v>0</v>
      </c>
      <c r="E49" s="335">
        <v>0</v>
      </c>
      <c r="F49" s="335">
        <v>0</v>
      </c>
    </row>
    <row r="50" spans="1:6">
      <c r="A50" s="1269" t="s">
        <v>32</v>
      </c>
      <c r="B50" s="1269" t="s">
        <v>41</v>
      </c>
      <c r="C50" s="335">
        <v>3</v>
      </c>
      <c r="D50" s="335">
        <v>218584.82915408301</v>
      </c>
      <c r="E50" s="335">
        <v>4</v>
      </c>
      <c r="F50" s="335">
        <v>145514.08888058999</v>
      </c>
    </row>
    <row r="51" spans="1:6">
      <c r="A51" s="1269" t="s">
        <v>42</v>
      </c>
      <c r="B51" s="1269" t="s">
        <v>43</v>
      </c>
      <c r="C51" s="335">
        <v>0</v>
      </c>
      <c r="D51" s="335">
        <v>0</v>
      </c>
      <c r="E51" s="335">
        <v>37</v>
      </c>
      <c r="F51" s="335">
        <v>347516.90681295103</v>
      </c>
    </row>
    <row r="52" spans="1:6">
      <c r="A52" s="1269" t="s">
        <v>42</v>
      </c>
      <c r="B52" s="1269" t="s">
        <v>29</v>
      </c>
      <c r="C52" s="335">
        <v>5</v>
      </c>
      <c r="D52" s="335">
        <v>23114821.4316197</v>
      </c>
      <c r="E52" s="335">
        <v>5</v>
      </c>
      <c r="F52" s="335">
        <v>229983.877792827</v>
      </c>
    </row>
    <row r="53" spans="1:6">
      <c r="A53" s="1269" t="s">
        <v>44</v>
      </c>
      <c r="B53" s="1269" t="s">
        <v>45</v>
      </c>
      <c r="C53" s="335">
        <v>137</v>
      </c>
      <c r="D53" s="335">
        <v>2962999.3446630798</v>
      </c>
      <c r="E53" s="335">
        <v>256</v>
      </c>
      <c r="F53" s="335">
        <v>1263341.7197490199</v>
      </c>
    </row>
    <row r="54" spans="1:6">
      <c r="A54" s="1269" t="s">
        <v>46</v>
      </c>
      <c r="B54" s="1269" t="s">
        <v>47</v>
      </c>
      <c r="C54" s="335">
        <v>0</v>
      </c>
      <c r="D54" s="335">
        <v>0</v>
      </c>
      <c r="E54" s="335">
        <v>1</v>
      </c>
      <c r="F54" s="335">
        <v>1538049</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56</v>
      </c>
      <c r="D57" s="335">
        <v>3486121.3495300501</v>
      </c>
      <c r="E57" s="335">
        <v>120</v>
      </c>
      <c r="F57" s="335">
        <v>2341736.2663106499</v>
      </c>
    </row>
    <row r="58" spans="1:6">
      <c r="A58" s="1269" t="s">
        <v>49</v>
      </c>
      <c r="B58" s="1269" t="s">
        <v>51</v>
      </c>
      <c r="C58" s="335">
        <v>27</v>
      </c>
      <c r="D58" s="335">
        <v>1675200.56819413</v>
      </c>
      <c r="E58" s="335">
        <v>45</v>
      </c>
      <c r="F58" s="335">
        <v>791829.03648355603</v>
      </c>
    </row>
    <row r="59" spans="1:6">
      <c r="A59" s="1269" t="s">
        <v>49</v>
      </c>
      <c r="B59" s="1269" t="s">
        <v>52</v>
      </c>
      <c r="C59" s="335">
        <v>63</v>
      </c>
      <c r="D59" s="335">
        <v>3609876.18530299</v>
      </c>
      <c r="E59" s="335">
        <v>171</v>
      </c>
      <c r="F59" s="335">
        <v>7533545.1904557804</v>
      </c>
    </row>
    <row r="60" spans="1:6">
      <c r="A60" s="1269" t="s">
        <v>49</v>
      </c>
      <c r="B60" s="1269" t="s">
        <v>53</v>
      </c>
      <c r="C60" s="335">
        <v>26</v>
      </c>
      <c r="D60" s="335">
        <v>1076924.86769878</v>
      </c>
      <c r="E60" s="335">
        <v>47</v>
      </c>
      <c r="F60" s="335">
        <v>1214201.8936991501</v>
      </c>
    </row>
    <row r="61" spans="1:6">
      <c r="A61" s="1269" t="s">
        <v>49</v>
      </c>
      <c r="B61" s="1269" t="s">
        <v>54</v>
      </c>
      <c r="C61" s="335">
        <v>166</v>
      </c>
      <c r="D61" s="335">
        <v>5689989.7955726702</v>
      </c>
      <c r="E61" s="335">
        <v>352</v>
      </c>
      <c r="F61" s="335">
        <v>4989271.8192892699</v>
      </c>
    </row>
    <row r="62" spans="1:6">
      <c r="A62" s="1269" t="s">
        <v>49</v>
      </c>
      <c r="B62" s="1269" t="s">
        <v>55</v>
      </c>
      <c r="C62" s="335">
        <v>11</v>
      </c>
      <c r="D62" s="335">
        <v>477258.90864408098</v>
      </c>
      <c r="E62" s="335">
        <v>19</v>
      </c>
      <c r="F62" s="335">
        <v>194787.64171898901</v>
      </c>
    </row>
    <row r="63" spans="1:6">
      <c r="A63" s="1269" t="s">
        <v>49</v>
      </c>
      <c r="B63" s="1269" t="s">
        <v>29</v>
      </c>
      <c r="C63" s="335">
        <v>87</v>
      </c>
      <c r="D63" s="335">
        <v>9449153.2381320298</v>
      </c>
      <c r="E63" s="335">
        <v>88</v>
      </c>
      <c r="F63" s="335">
        <v>3322148.4642328699</v>
      </c>
    </row>
    <row r="64" spans="1:6">
      <c r="A64" s="1269" t="s">
        <v>56</v>
      </c>
      <c r="B64" s="1269" t="s">
        <v>57</v>
      </c>
      <c r="C64" s="335">
        <v>0</v>
      </c>
      <c r="D64" s="335">
        <v>0</v>
      </c>
      <c r="E64" s="335">
        <v>0</v>
      </c>
      <c r="F64" s="335">
        <v>0</v>
      </c>
    </row>
    <row r="65" spans="1:6">
      <c r="A65" s="1269" t="s">
        <v>56</v>
      </c>
      <c r="B65" s="1269" t="s">
        <v>29</v>
      </c>
      <c r="C65" s="335">
        <v>3</v>
      </c>
      <c r="D65" s="335">
        <v>70342.870465907094</v>
      </c>
      <c r="E65" s="335">
        <v>3</v>
      </c>
      <c r="F65" s="335">
        <v>14389.964542445599</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7</v>
      </c>
      <c r="F68" s="335">
        <v>148160.592564366</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66454786</v>
      </c>
      <c r="E73" s="335">
        <v>84235224.039565235</v>
      </c>
    </row>
    <row r="74" spans="1:6">
      <c r="A74" s="1269" t="s">
        <v>64</v>
      </c>
      <c r="B74" s="1269" t="s">
        <v>727</v>
      </c>
      <c r="C74" s="1269" t="s">
        <v>728</v>
      </c>
      <c r="D74" s="335">
        <v>4538980.6927122595</v>
      </c>
      <c r="E74" s="335">
        <v>4734153.7518363502</v>
      </c>
    </row>
    <row r="75" spans="1:6">
      <c r="A75" s="1269" t="s">
        <v>65</v>
      </c>
      <c r="B75" s="1269" t="s">
        <v>725</v>
      </c>
      <c r="C75" s="1269" t="s">
        <v>729</v>
      </c>
      <c r="D75" s="335">
        <v>34733558</v>
      </c>
      <c r="E75" s="335">
        <v>41581086.768447995</v>
      </c>
    </row>
    <row r="76" spans="1:6">
      <c r="A76" s="1269" t="s">
        <v>65</v>
      </c>
      <c r="B76" s="1269" t="s">
        <v>727</v>
      </c>
      <c r="C76" s="1269" t="s">
        <v>730</v>
      </c>
      <c r="D76" s="335">
        <v>817341.69271225936</v>
      </c>
      <c r="E76" s="335">
        <v>881747.74349641427</v>
      </c>
    </row>
    <row r="77" spans="1:6">
      <c r="A77" s="1269" t="s">
        <v>66</v>
      </c>
      <c r="B77" s="1269" t="s">
        <v>725</v>
      </c>
      <c r="C77" s="1269" t="s">
        <v>731</v>
      </c>
      <c r="D77" s="335">
        <v>11518458</v>
      </c>
      <c r="E77" s="335">
        <v>12304194.090355985</v>
      </c>
    </row>
    <row r="78" spans="1:6">
      <c r="A78" s="1265" t="s">
        <v>66</v>
      </c>
      <c r="B78" s="1265" t="s">
        <v>727</v>
      </c>
      <c r="C78" s="1265" t="s">
        <v>732</v>
      </c>
      <c r="D78" s="1265">
        <v>1099369</v>
      </c>
      <c r="E78" s="1265">
        <v>1277328.9660605199</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1336922.6145754813</v>
      </c>
      <c r="C83" s="335">
        <v>1325212.0850347322</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3437.1288178145114</v>
      </c>
    </row>
    <row r="92" spans="1:6">
      <c r="A92" s="1265" t="s">
        <v>69</v>
      </c>
      <c r="B92" s="338">
        <v>970.9224169199714</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3149</v>
      </c>
    </row>
    <row r="98" spans="1:6">
      <c r="A98" s="1269" t="s">
        <v>72</v>
      </c>
      <c r="B98" s="335">
        <v>2</v>
      </c>
    </row>
    <row r="99" spans="1:6">
      <c r="A99" s="1269" t="s">
        <v>73</v>
      </c>
      <c r="B99" s="335">
        <v>74</v>
      </c>
    </row>
    <row r="100" spans="1:6">
      <c r="A100" s="1269" t="s">
        <v>74</v>
      </c>
      <c r="B100" s="335">
        <v>495</v>
      </c>
    </row>
    <row r="101" spans="1:6">
      <c r="A101" s="1269" t="s">
        <v>75</v>
      </c>
      <c r="B101" s="335">
        <v>56</v>
      </c>
    </row>
    <row r="102" spans="1:6">
      <c r="A102" s="1269" t="s">
        <v>76</v>
      </c>
      <c r="B102" s="335">
        <v>86</v>
      </c>
    </row>
    <row r="103" spans="1:6">
      <c r="A103" s="1269" t="s">
        <v>77</v>
      </c>
      <c r="B103" s="335">
        <v>107</v>
      </c>
    </row>
    <row r="104" spans="1:6">
      <c r="A104" s="1269" t="s">
        <v>78</v>
      </c>
      <c r="B104" s="335">
        <v>3071</v>
      </c>
    </row>
    <row r="105" spans="1:6">
      <c r="A105" s="1265" t="s">
        <v>79</v>
      </c>
      <c r="B105" s="1265">
        <v>8</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40</v>
      </c>
      <c r="C123" s="335">
        <v>40</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142</v>
      </c>
    </row>
    <row r="130" spans="1:6">
      <c r="A130" s="1269" t="s">
        <v>295</v>
      </c>
      <c r="B130" s="335">
        <v>0</v>
      </c>
    </row>
    <row r="131" spans="1:6">
      <c r="A131" s="1269" t="s">
        <v>296</v>
      </c>
      <c r="B131" s="335">
        <v>4</v>
      </c>
    </row>
    <row r="132" spans="1:6">
      <c r="A132" s="1265" t="s">
        <v>297</v>
      </c>
      <c r="B132" s="338">
        <v>8</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69732.38568353442</v>
      </c>
      <c r="C3" s="43" t="s">
        <v>170</v>
      </c>
      <c r="D3" s="43"/>
      <c r="E3" s="156"/>
      <c r="F3" s="43"/>
      <c r="G3" s="43"/>
      <c r="H3" s="43"/>
      <c r="I3" s="43"/>
      <c r="J3" s="43"/>
      <c r="K3" s="96"/>
    </row>
    <row r="4" spans="1:11">
      <c r="A4" s="366" t="s">
        <v>171</v>
      </c>
      <c r="B4" s="49">
        <f>IF(ISERROR('SEAP template'!B69),0,'SEAP template'!B69)</f>
        <v>13471.051234734481</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2153.7952941176468</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0.20919333340329019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3076.8504201680662</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12947.142857142855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0.23764705882352938</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1538.049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1538.049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0.20919333340329019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321.74959724759708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33063.661913233998</v>
      </c>
      <c r="C5" s="17">
        <f>IF(ISERROR('Eigen informatie GS &amp; warmtenet'!B57),0,'Eigen informatie GS &amp; warmtenet'!B57)</f>
        <v>0</v>
      </c>
      <c r="D5" s="30">
        <f>(SUM(HH_hh_gas_kWh,HH_rest_gas_kWh)/1000)*0.902</f>
        <v>90174.244674091431</v>
      </c>
      <c r="E5" s="17">
        <f>B46*B57</f>
        <v>4170.0344941157573</v>
      </c>
      <c r="F5" s="17">
        <f>B51*B62</f>
        <v>30136.902764325754</v>
      </c>
      <c r="G5" s="18"/>
      <c r="H5" s="17"/>
      <c r="I5" s="17"/>
      <c r="J5" s="17">
        <f>B50*B61+C50*C61</f>
        <v>0</v>
      </c>
      <c r="K5" s="17"/>
      <c r="L5" s="17"/>
      <c r="M5" s="17"/>
      <c r="N5" s="17">
        <f>B48*B59+C48*C59</f>
        <v>11830.496781782154</v>
      </c>
      <c r="O5" s="17">
        <f>B69*B70*B71</f>
        <v>284.52666666666664</v>
      </c>
      <c r="P5" s="17">
        <f>B77*B78*B79/1000-B77*B78*B79/1000/B80</f>
        <v>915.2</v>
      </c>
    </row>
    <row r="6" spans="1:16">
      <c r="A6" s="16" t="s">
        <v>634</v>
      </c>
      <c r="B6" s="831">
        <f>kWh_PV_kleiner_dan_10kW</f>
        <v>3437.1288178145114</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36500.79073104851</v>
      </c>
      <c r="C8" s="21">
        <f>C5</f>
        <v>0</v>
      </c>
      <c r="D8" s="21">
        <f>D5</f>
        <v>90174.244674091431</v>
      </c>
      <c r="E8" s="21">
        <f>E5</f>
        <v>4170.0344941157573</v>
      </c>
      <c r="F8" s="21">
        <f>F5</f>
        <v>30136.902764325754</v>
      </c>
      <c r="G8" s="21"/>
      <c r="H8" s="21"/>
      <c r="I8" s="21"/>
      <c r="J8" s="21">
        <f>J5</f>
        <v>0</v>
      </c>
      <c r="K8" s="21"/>
      <c r="L8" s="21">
        <f>L5</f>
        <v>0</v>
      </c>
      <c r="M8" s="21">
        <f>M5</f>
        <v>0</v>
      </c>
      <c r="N8" s="21">
        <f>N5</f>
        <v>11830.496781782154</v>
      </c>
      <c r="O8" s="21">
        <f>O5</f>
        <v>284.52666666666664</v>
      </c>
      <c r="P8" s="21">
        <f>P5</f>
        <v>915.2</v>
      </c>
    </row>
    <row r="9" spans="1:16">
      <c r="B9" s="19"/>
      <c r="C9" s="19"/>
      <c r="D9" s="261"/>
      <c r="E9" s="19"/>
      <c r="F9" s="19"/>
      <c r="G9" s="19"/>
      <c r="H9" s="19"/>
      <c r="I9" s="19"/>
      <c r="J9" s="19"/>
      <c r="K9" s="19"/>
      <c r="L9" s="19"/>
      <c r="M9" s="19"/>
      <c r="N9" s="19"/>
      <c r="O9" s="19"/>
      <c r="P9" s="19"/>
    </row>
    <row r="10" spans="1:16">
      <c r="A10" s="24" t="s">
        <v>214</v>
      </c>
      <c r="B10" s="25">
        <f ca="1">'EF ele_warmte'!B12</f>
        <v>0.20919333340329019</v>
      </c>
      <c r="C10" s="25">
        <f ca="1">'EF ele_warmte'!B22</f>
        <v>0.23764705882352938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7635.7220848839552</v>
      </c>
      <c r="C12" s="23">
        <f ca="1">C10*C8</f>
        <v>0</v>
      </c>
      <c r="D12" s="23">
        <f>D8*D10</f>
        <v>18215.197424166472</v>
      </c>
      <c r="E12" s="23">
        <f>E10*E8</f>
        <v>946.59783016427696</v>
      </c>
      <c r="F12" s="23">
        <f>F10*F8</f>
        <v>8046.5530380749769</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3149</v>
      </c>
      <c r="C18" s="168" t="s">
        <v>111</v>
      </c>
      <c r="D18" s="230"/>
      <c r="E18" s="15"/>
    </row>
    <row r="19" spans="1:7">
      <c r="A19" s="173" t="s">
        <v>72</v>
      </c>
      <c r="B19" s="37">
        <f>aantalw2001_ander</f>
        <v>2</v>
      </c>
      <c r="C19" s="168" t="s">
        <v>111</v>
      </c>
      <c r="D19" s="231"/>
      <c r="E19" s="15"/>
    </row>
    <row r="20" spans="1:7">
      <c r="A20" s="173" t="s">
        <v>73</v>
      </c>
      <c r="B20" s="37">
        <f>aantalw2001_propaan</f>
        <v>74</v>
      </c>
      <c r="C20" s="169">
        <f>IF(ISERROR(B20/SUM($B$20,$B$21,$B$22)*100),0,B20/SUM($B$20,$B$21,$B$22)*100)</f>
        <v>11.84</v>
      </c>
      <c r="D20" s="231"/>
      <c r="E20" s="15"/>
    </row>
    <row r="21" spans="1:7">
      <c r="A21" s="173" t="s">
        <v>74</v>
      </c>
      <c r="B21" s="37">
        <f>aantalw2001_elektriciteit</f>
        <v>495</v>
      </c>
      <c r="C21" s="169">
        <f>IF(ISERROR(B21/SUM($B$20,$B$21,$B$22)*100),0,B21/SUM($B$20,$B$21,$B$22)*100)</f>
        <v>79.2</v>
      </c>
      <c r="D21" s="231"/>
      <c r="E21" s="15"/>
    </row>
    <row r="22" spans="1:7">
      <c r="A22" s="173" t="s">
        <v>75</v>
      </c>
      <c r="B22" s="37">
        <f>aantalw2001_hout</f>
        <v>56</v>
      </c>
      <c r="C22" s="169">
        <f>IF(ISERROR(B22/SUM($B$20,$B$21,$B$22)*100),0,B22/SUM($B$20,$B$21,$B$22)*100)</f>
        <v>8.9599999999999991</v>
      </c>
      <c r="D22" s="231"/>
      <c r="E22" s="15"/>
    </row>
    <row r="23" spans="1:7">
      <c r="A23" s="173" t="s">
        <v>76</v>
      </c>
      <c r="B23" s="37">
        <f>aantalw2001_niet_gespec</f>
        <v>86</v>
      </c>
      <c r="C23" s="168" t="s">
        <v>111</v>
      </c>
      <c r="D23" s="230"/>
      <c r="E23" s="15"/>
    </row>
    <row r="24" spans="1:7">
      <c r="A24" s="173" t="s">
        <v>77</v>
      </c>
      <c r="B24" s="37">
        <f>aantalw2001_steenkool</f>
        <v>107</v>
      </c>
      <c r="C24" s="168" t="s">
        <v>111</v>
      </c>
      <c r="D24" s="231"/>
      <c r="E24" s="15"/>
    </row>
    <row r="25" spans="1:7">
      <c r="A25" s="173" t="s">
        <v>78</v>
      </c>
      <c r="B25" s="37">
        <f>aantalw2001_stookolie</f>
        <v>3071</v>
      </c>
      <c r="C25" s="168" t="s">
        <v>111</v>
      </c>
      <c r="D25" s="230"/>
      <c r="E25" s="52"/>
    </row>
    <row r="26" spans="1:7">
      <c r="A26" s="173" t="s">
        <v>79</v>
      </c>
      <c r="B26" s="37">
        <f>aantalw2001_WP</f>
        <v>8</v>
      </c>
      <c r="C26" s="168" t="s">
        <v>111</v>
      </c>
      <c r="D26" s="230"/>
      <c r="E26" s="15"/>
    </row>
    <row r="27" spans="1:7" s="15" customFormat="1">
      <c r="A27" s="173"/>
      <c r="B27" s="29"/>
      <c r="C27" s="36"/>
      <c r="D27" s="230"/>
    </row>
    <row r="28" spans="1:7" s="15" customFormat="1">
      <c r="A28" s="232" t="s">
        <v>745</v>
      </c>
      <c r="B28" s="37">
        <f>aantalHuishoudens2011</f>
        <v>8167</v>
      </c>
      <c r="C28" s="36"/>
      <c r="D28" s="230"/>
    </row>
    <row r="29" spans="1:7" s="15" customFormat="1">
      <c r="A29" s="232" t="s">
        <v>746</v>
      </c>
      <c r="B29" s="37">
        <f>SUM(HH_hh_gas_aantal,HH_rest_gas_aantal)</f>
        <v>5237</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5237</v>
      </c>
      <c r="C32" s="169">
        <f>IF(ISERROR(B32/SUM($B$32,$B$34,$B$35,$B$36,$B$38,$B$39)*100),0,B32/SUM($B$32,$B$34,$B$35,$B$36,$B$38,$B$39)*100)</f>
        <v>64.503017613006534</v>
      </c>
      <c r="D32" s="235"/>
      <c r="G32" s="15"/>
    </row>
    <row r="33" spans="1:7">
      <c r="A33" s="173" t="s">
        <v>72</v>
      </c>
      <c r="B33" s="34" t="s">
        <v>111</v>
      </c>
      <c r="C33" s="169"/>
      <c r="D33" s="235"/>
      <c r="G33" s="15"/>
    </row>
    <row r="34" spans="1:7">
      <c r="A34" s="173" t="s">
        <v>73</v>
      </c>
      <c r="B34" s="33">
        <f>IF((($B$28-$B$32-$B$39-$B$77-$B$38)*C20/100)&lt;0,0,($B$28-$B$32-$B$39-$B$77-$B$38)*C20/100)</f>
        <v>200.11968000000002</v>
      </c>
      <c r="C34" s="169">
        <f>IF(ISERROR(B34/SUM($B$32,$B$34,$B$35,$B$36,$B$38,$B$39)*100),0,B34/SUM($B$32,$B$34,$B$35,$B$36,$B$38,$B$39)*100)</f>
        <v>2.464831629511024</v>
      </c>
      <c r="D34" s="235"/>
      <c r="G34" s="15"/>
    </row>
    <row r="35" spans="1:7">
      <c r="A35" s="173" t="s">
        <v>74</v>
      </c>
      <c r="B35" s="33">
        <f>IF((($B$28-$B$32-$B$39-$B$77-$B$38)*C21/100)&lt;0,0,($B$28-$B$32-$B$39-$B$77-$B$38)*C21/100)</f>
        <v>1338.6384</v>
      </c>
      <c r="C35" s="169">
        <f>IF(ISERROR(B35/SUM($B$32,$B$34,$B$35,$B$36,$B$38,$B$39)*100),0,B35/SUM($B$32,$B$34,$B$35,$B$36,$B$38,$B$39)*100)</f>
        <v>16.487725089296713</v>
      </c>
      <c r="D35" s="235"/>
      <c r="G35" s="15"/>
    </row>
    <row r="36" spans="1:7">
      <c r="A36" s="173" t="s">
        <v>75</v>
      </c>
      <c r="B36" s="33">
        <f>IF((($B$28-$B$32-$B$39-$B$77-$B$38)*C22/100)&lt;0,0,($B$28-$B$32-$B$39-$B$77-$B$38)*C22/100)</f>
        <v>151.44191999999998</v>
      </c>
      <c r="C36" s="169">
        <f>IF(ISERROR(B36/SUM($B$32,$B$34,$B$35,$B$36,$B$38,$B$39)*100),0,B36/SUM($B$32,$B$34,$B$35,$B$36,$B$38,$B$39)*100)</f>
        <v>1.8652779899002339</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1191.8</v>
      </c>
      <c r="C39" s="169">
        <f>IF(ISERROR(B39/SUM($B$32,$B$34,$B$35,$B$36,$B$38,$B$39)*100),0,B39/SUM($B$32,$B$34,$B$35,$B$36,$B$38,$B$39)*100)</f>
        <v>14.679147678285503</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5237</v>
      </c>
      <c r="C44" s="34" t="s">
        <v>111</v>
      </c>
      <c r="D44" s="176"/>
    </row>
    <row r="45" spans="1:7">
      <c r="A45" s="173" t="s">
        <v>72</v>
      </c>
      <c r="B45" s="33" t="str">
        <f t="shared" si="0"/>
        <v>-</v>
      </c>
      <c r="C45" s="34" t="s">
        <v>111</v>
      </c>
      <c r="D45" s="176"/>
    </row>
    <row r="46" spans="1:7">
      <c r="A46" s="173" t="s">
        <v>73</v>
      </c>
      <c r="B46" s="33">
        <f t="shared" si="0"/>
        <v>200.11968000000002</v>
      </c>
      <c r="C46" s="34" t="s">
        <v>111</v>
      </c>
      <c r="D46" s="176"/>
    </row>
    <row r="47" spans="1:7">
      <c r="A47" s="173" t="s">
        <v>74</v>
      </c>
      <c r="B47" s="33">
        <f t="shared" si="0"/>
        <v>1338.6384</v>
      </c>
      <c r="C47" s="34" t="s">
        <v>111</v>
      </c>
      <c r="D47" s="176"/>
    </row>
    <row r="48" spans="1:7">
      <c r="A48" s="173" t="s">
        <v>75</v>
      </c>
      <c r="B48" s="33">
        <f t="shared" si="0"/>
        <v>151.44191999999998</v>
      </c>
      <c r="C48" s="33">
        <f>B48*10</f>
        <v>1514.4191999999998</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1191.8</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182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20387.520312190263</v>
      </c>
      <c r="C5" s="17">
        <f>IF(ISERROR('Eigen informatie GS &amp; warmtenet'!B58),0,'Eigen informatie GS &amp; warmtenet'!B58)</f>
        <v>0</v>
      </c>
      <c r="D5" s="30">
        <f>SUM(D6:D12)</f>
        <v>22969.001471593408</v>
      </c>
      <c r="E5" s="17">
        <f>SUM(E6:E12)</f>
        <v>248.45650753976764</v>
      </c>
      <c r="F5" s="17">
        <f>SUM(F6:F12)</f>
        <v>3974.5574824785872</v>
      </c>
      <c r="G5" s="18"/>
      <c r="H5" s="17"/>
      <c r="I5" s="17"/>
      <c r="J5" s="17">
        <f>SUM(J6:J12)</f>
        <v>0</v>
      </c>
      <c r="K5" s="17"/>
      <c r="L5" s="17"/>
      <c r="M5" s="17"/>
      <c r="N5" s="17">
        <f>SUM(N6:N12)</f>
        <v>1927.5236517271089</v>
      </c>
      <c r="O5" s="17">
        <f>B38*B39*B40</f>
        <v>0</v>
      </c>
      <c r="P5" s="17">
        <f>B46*B47*B48/1000-B46*B47*B48/1000/B49</f>
        <v>76.266666666666666</v>
      </c>
      <c r="R5" s="32"/>
    </row>
    <row r="6" spans="1:18">
      <c r="A6" s="32" t="s">
        <v>54</v>
      </c>
      <c r="B6" s="37">
        <f>B26</f>
        <v>4989.2718192892698</v>
      </c>
      <c r="C6" s="33"/>
      <c r="D6" s="37">
        <f>IF(ISERROR(TER_kantoor_gas_kWh/1000),0,TER_kantoor_gas_kWh/1000)*0.902</f>
        <v>5132.3707956065482</v>
      </c>
      <c r="E6" s="33">
        <f>$C$26*'E Balans VL '!I12/100/3.6*1000000</f>
        <v>19.384377308327551</v>
      </c>
      <c r="F6" s="33">
        <f>$C$26*('E Balans VL '!L12+'E Balans VL '!N12)/100/3.6*1000000</f>
        <v>758.82284495984504</v>
      </c>
      <c r="G6" s="34"/>
      <c r="H6" s="33"/>
      <c r="I6" s="33"/>
      <c r="J6" s="33">
        <f>$C$26*('E Balans VL '!D12+'E Balans VL '!E12)/100/3.6*1000000</f>
        <v>0</v>
      </c>
      <c r="K6" s="33"/>
      <c r="L6" s="33"/>
      <c r="M6" s="33"/>
      <c r="N6" s="33">
        <f>$C$26*'E Balans VL '!Y12/100/3.6*1000000</f>
        <v>2.7496864724728129</v>
      </c>
      <c r="O6" s="33"/>
      <c r="P6" s="33"/>
      <c r="R6" s="32"/>
    </row>
    <row r="7" spans="1:18">
      <c r="A7" s="32" t="s">
        <v>53</v>
      </c>
      <c r="B7" s="37">
        <f t="shared" ref="B7:B12" si="0">B27</f>
        <v>1214.2018936991501</v>
      </c>
      <c r="C7" s="33"/>
      <c r="D7" s="37">
        <f>IF(ISERROR(TER_horeca_gas_kWh/1000),0,TER_horeca_gas_kWh/1000)*0.902</f>
        <v>971.38623066429955</v>
      </c>
      <c r="E7" s="33">
        <f>$C$27*'E Balans VL '!I9/100/3.6*1000000</f>
        <v>68.396317295875022</v>
      </c>
      <c r="F7" s="33">
        <f>$C$27*('E Balans VL '!L9+'E Balans VL '!N9)/100/3.6*1000000</f>
        <v>350.10313335940941</v>
      </c>
      <c r="G7" s="34"/>
      <c r="H7" s="33"/>
      <c r="I7" s="33"/>
      <c r="J7" s="33">
        <f>$C$27*('E Balans VL '!D9+'E Balans VL '!E9)/100/3.6*1000000</f>
        <v>0</v>
      </c>
      <c r="K7" s="33"/>
      <c r="L7" s="33"/>
      <c r="M7" s="33"/>
      <c r="N7" s="33">
        <f>$C$27*'E Balans VL '!Y9/100/3.6*1000000</f>
        <v>0.33523483326364606</v>
      </c>
      <c r="O7" s="33"/>
      <c r="P7" s="33"/>
      <c r="R7" s="32"/>
    </row>
    <row r="8" spans="1:18">
      <c r="A8" s="6" t="s">
        <v>52</v>
      </c>
      <c r="B8" s="37">
        <f t="shared" si="0"/>
        <v>7533.5451904557804</v>
      </c>
      <c r="C8" s="33"/>
      <c r="D8" s="37">
        <f>IF(ISERROR(TER_handel_gas_kWh/1000),0,TER_handel_gas_kWh/1000)*0.902</f>
        <v>3256.1083191432972</v>
      </c>
      <c r="E8" s="33">
        <f>$C$28*'E Balans VL '!I13/100/3.6*1000000</f>
        <v>108.58394497082244</v>
      </c>
      <c r="F8" s="33">
        <f>$C$28*('E Balans VL '!L13+'E Balans VL '!N13)/100/3.6*1000000</f>
        <v>1308.752244010866</v>
      </c>
      <c r="G8" s="34"/>
      <c r="H8" s="33"/>
      <c r="I8" s="33"/>
      <c r="J8" s="33">
        <f>$C$28*('E Balans VL '!D13+'E Balans VL '!E13)/100/3.6*1000000</f>
        <v>0</v>
      </c>
      <c r="K8" s="33"/>
      <c r="L8" s="33"/>
      <c r="M8" s="33"/>
      <c r="N8" s="33">
        <f>$C$28*'E Balans VL '!Y13/100/3.6*1000000</f>
        <v>22.571340042132466</v>
      </c>
      <c r="O8" s="33"/>
      <c r="P8" s="33"/>
      <c r="R8" s="32"/>
    </row>
    <row r="9" spans="1:18">
      <c r="A9" s="32" t="s">
        <v>51</v>
      </c>
      <c r="B9" s="37">
        <f t="shared" si="0"/>
        <v>791.82903648355602</v>
      </c>
      <c r="C9" s="33"/>
      <c r="D9" s="37">
        <f>IF(ISERROR(TER_gezond_gas_kWh/1000),0,TER_gezond_gas_kWh/1000)*0.902</f>
        <v>1511.0309125111053</v>
      </c>
      <c r="E9" s="33">
        <f>$C$29*'E Balans VL '!I10/100/3.6*1000000</f>
        <v>0.8458786455136944</v>
      </c>
      <c r="F9" s="33">
        <f>$C$29*('E Balans VL '!L10+'E Balans VL '!N10)/100/3.6*1000000</f>
        <v>129.17138043791616</v>
      </c>
      <c r="G9" s="34"/>
      <c r="H9" s="33"/>
      <c r="I9" s="33"/>
      <c r="J9" s="33">
        <f>$C$29*('E Balans VL '!D10+'E Balans VL '!E10)/100/3.6*1000000</f>
        <v>0</v>
      </c>
      <c r="K9" s="33"/>
      <c r="L9" s="33"/>
      <c r="M9" s="33"/>
      <c r="N9" s="33">
        <f>$C$29*'E Balans VL '!Y10/100/3.6*1000000</f>
        <v>8.151428121963713</v>
      </c>
      <c r="O9" s="33"/>
      <c r="P9" s="33"/>
      <c r="R9" s="32"/>
    </row>
    <row r="10" spans="1:18">
      <c r="A10" s="32" t="s">
        <v>50</v>
      </c>
      <c r="B10" s="37">
        <f t="shared" si="0"/>
        <v>2341.7362663106501</v>
      </c>
      <c r="C10" s="33"/>
      <c r="D10" s="37">
        <f>IF(ISERROR(TER_ander_gas_kWh/1000),0,TER_ander_gas_kWh/1000)*0.902</f>
        <v>3144.4814572761052</v>
      </c>
      <c r="E10" s="33">
        <f>$C$30*'E Balans VL '!I14/100/3.6*1000000</f>
        <v>10.769288884234216</v>
      </c>
      <c r="F10" s="33">
        <f>$C$30*('E Balans VL '!L14+'E Balans VL '!N14)/100/3.6*1000000</f>
        <v>701.89222401400173</v>
      </c>
      <c r="G10" s="34"/>
      <c r="H10" s="33"/>
      <c r="I10" s="33"/>
      <c r="J10" s="33">
        <f>$C$30*('E Balans VL '!D14+'E Balans VL '!E14)/100/3.6*1000000</f>
        <v>0</v>
      </c>
      <c r="K10" s="33"/>
      <c r="L10" s="33"/>
      <c r="M10" s="33"/>
      <c r="N10" s="33">
        <f>$C$30*'E Balans VL '!Y14/100/3.6*1000000</f>
        <v>1630.0030211632106</v>
      </c>
      <c r="O10" s="33"/>
      <c r="P10" s="33"/>
      <c r="R10" s="32"/>
    </row>
    <row r="11" spans="1:18">
      <c r="A11" s="32" t="s">
        <v>55</v>
      </c>
      <c r="B11" s="37">
        <f t="shared" si="0"/>
        <v>194.78764171898899</v>
      </c>
      <c r="C11" s="33"/>
      <c r="D11" s="37">
        <f>IF(ISERROR(TER_onderwijs_gas_kWh/1000),0,TER_onderwijs_gas_kWh/1000)*0.902</f>
        <v>430.48753559696104</v>
      </c>
      <c r="E11" s="33">
        <f>$C$31*'E Balans VL '!I11/100/3.6*1000000</f>
        <v>0.18069115397913782</v>
      </c>
      <c r="F11" s="33">
        <f>$C$31*('E Balans VL '!L11+'E Balans VL '!N11)/100/3.6*1000000</f>
        <v>68.424421663806072</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3322.1484642328701</v>
      </c>
      <c r="C12" s="33"/>
      <c r="D12" s="37">
        <f>IF(ISERROR(TER_rest_gas_kWh/1000),0,TER_rest_gas_kWh/1000)*0.902</f>
        <v>8523.1362207950915</v>
      </c>
      <c r="E12" s="33">
        <f>$C$32*'E Balans VL '!I8/100/3.6*1000000</f>
        <v>40.296009281015579</v>
      </c>
      <c r="F12" s="33">
        <f>$C$32*('E Balans VL '!L8+'E Balans VL '!N8)/100/3.6*1000000</f>
        <v>657.3912340327422</v>
      </c>
      <c r="G12" s="34"/>
      <c r="H12" s="33"/>
      <c r="I12" s="33"/>
      <c r="J12" s="33">
        <f>$C$32*('E Balans VL '!D8+'E Balans VL '!E8)/100/3.6*1000000</f>
        <v>0</v>
      </c>
      <c r="K12" s="33"/>
      <c r="L12" s="33"/>
      <c r="M12" s="33"/>
      <c r="N12" s="33">
        <f>$C$32*'E Balans VL '!Y8/100/3.6*1000000</f>
        <v>263.71294109406568</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20387.520312190263</v>
      </c>
      <c r="C16" s="21">
        <f t="shared" ca="1" si="1"/>
        <v>0</v>
      </c>
      <c r="D16" s="21">
        <f t="shared" ca="1" si="1"/>
        <v>22969.001471593408</v>
      </c>
      <c r="E16" s="21">
        <f t="shared" si="1"/>
        <v>248.45650753976764</v>
      </c>
      <c r="F16" s="21">
        <f t="shared" ca="1" si="1"/>
        <v>3974.5574824785872</v>
      </c>
      <c r="G16" s="21">
        <f t="shared" si="1"/>
        <v>0</v>
      </c>
      <c r="H16" s="21">
        <f t="shared" si="1"/>
        <v>0</v>
      </c>
      <c r="I16" s="21">
        <f t="shared" si="1"/>
        <v>0</v>
      </c>
      <c r="J16" s="21">
        <f t="shared" si="1"/>
        <v>0</v>
      </c>
      <c r="K16" s="21">
        <f t="shared" si="1"/>
        <v>0</v>
      </c>
      <c r="L16" s="21">
        <f t="shared" ca="1" si="1"/>
        <v>0</v>
      </c>
      <c r="M16" s="21">
        <f t="shared" si="1"/>
        <v>0</v>
      </c>
      <c r="N16" s="21">
        <f t="shared" ca="1" si="1"/>
        <v>1927.5236517271089</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0.20919333340329019</v>
      </c>
      <c r="C18" s="25">
        <f ca="1">'EF ele_warmte'!B22</f>
        <v>0.23764705882352938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4264.9333339343684</v>
      </c>
      <c r="C20" s="23">
        <f t="shared" ref="C20:P20" ca="1" si="2">C16*C18</f>
        <v>0</v>
      </c>
      <c r="D20" s="23">
        <f t="shared" ca="1" si="2"/>
        <v>4639.7382972618689</v>
      </c>
      <c r="E20" s="23">
        <f t="shared" si="2"/>
        <v>56.399627211527253</v>
      </c>
      <c r="F20" s="23">
        <f t="shared" ca="1" si="2"/>
        <v>1061.2068478217827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4989.2718192892698</v>
      </c>
      <c r="C26" s="39">
        <f>IF(ISERROR(B26*3.6/1000000/'E Balans VL '!Z12*100),0,B26*3.6/1000000/'E Balans VL '!Z12*100)</f>
        <v>0.10597460480569043</v>
      </c>
      <c r="D26" s="239" t="s">
        <v>692</v>
      </c>
      <c r="F26" s="6"/>
    </row>
    <row r="27" spans="1:18">
      <c r="A27" s="233" t="s">
        <v>53</v>
      </c>
      <c r="B27" s="33">
        <f>IF(ISERROR(TER_horeca_ele_kWh/1000),0,TER_horeca_ele_kWh/1000)</f>
        <v>1214.2018936991501</v>
      </c>
      <c r="C27" s="39">
        <f>IF(ISERROR(B27*3.6/1000000/'E Balans VL '!Z9*100),0,B27*3.6/1000000/'E Balans VL '!Z9*100)</f>
        <v>9.4411591819708443E-2</v>
      </c>
      <c r="D27" s="239" t="s">
        <v>692</v>
      </c>
      <c r="F27" s="6"/>
    </row>
    <row r="28" spans="1:18">
      <c r="A28" s="173" t="s">
        <v>52</v>
      </c>
      <c r="B28" s="33">
        <f>IF(ISERROR(TER_handel_ele_kWh/1000),0,TER_handel_ele_kWh/1000)</f>
        <v>7533.5451904557804</v>
      </c>
      <c r="C28" s="39">
        <f>IF(ISERROR(B28*3.6/1000000/'E Balans VL '!Z13*100),0,B28*3.6/1000000/'E Balans VL '!Z13*100)</f>
        <v>0.21554359399470843</v>
      </c>
      <c r="D28" s="239" t="s">
        <v>692</v>
      </c>
      <c r="F28" s="6"/>
    </row>
    <row r="29" spans="1:18">
      <c r="A29" s="233" t="s">
        <v>51</v>
      </c>
      <c r="B29" s="33">
        <f>IF(ISERROR(TER_gezond_ele_kWh/1000),0,TER_gezond_ele_kWh/1000)</f>
        <v>791.82903648355602</v>
      </c>
      <c r="C29" s="39">
        <f>IF(ISERROR(B29*3.6/1000000/'E Balans VL '!Z10*100),0,B29*3.6/1000000/'E Balans VL '!Z10*100)</f>
        <v>8.6327764876781871E-2</v>
      </c>
      <c r="D29" s="239" t="s">
        <v>692</v>
      </c>
      <c r="F29" s="6"/>
    </row>
    <row r="30" spans="1:18">
      <c r="A30" s="233" t="s">
        <v>50</v>
      </c>
      <c r="B30" s="33">
        <f>IF(ISERROR(TER_ander_ele_kWh/1000),0,TER_ander_ele_kWh/1000)</f>
        <v>2341.7362663106501</v>
      </c>
      <c r="C30" s="39">
        <f>IF(ISERROR(B30*3.6/1000000/'E Balans VL '!Z14*100),0,B30*3.6/1000000/'E Balans VL '!Z14*100)</f>
        <v>0.17136294786581902</v>
      </c>
      <c r="D30" s="239" t="s">
        <v>692</v>
      </c>
      <c r="F30" s="6"/>
    </row>
    <row r="31" spans="1:18">
      <c r="A31" s="233" t="s">
        <v>55</v>
      </c>
      <c r="B31" s="33">
        <f>IF(ISERROR(TER_onderwijs_ele_kWh/1000),0,TER_onderwijs_ele_kWh/1000)</f>
        <v>194.78764171898899</v>
      </c>
      <c r="C31" s="39">
        <f>IF(ISERROR(B31*3.6/1000000/'E Balans VL '!Z11*100),0,B31*3.6/1000000/'E Balans VL '!Z11*100)</f>
        <v>3.9123242484573099E-2</v>
      </c>
      <c r="D31" s="239" t="s">
        <v>692</v>
      </c>
    </row>
    <row r="32" spans="1:18">
      <c r="A32" s="233" t="s">
        <v>260</v>
      </c>
      <c r="B32" s="33">
        <f>IF(ISERROR(TER_rest_ele_kWh/1000),0,TER_rest_ele_kWh/1000)</f>
        <v>3322.1484642328701</v>
      </c>
      <c r="C32" s="39">
        <f>IF(ISERROR(B32*3.6/1000000/'E Balans VL '!Z8*100),0,B32*3.6/1000000/'E Balans VL '!Z8*100)</f>
        <v>2.7073493874031844E-2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4</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10722.370619560337</v>
      </c>
      <c r="C5" s="17">
        <f>IF(ISERROR('Eigen informatie GS &amp; warmtenet'!B59),0,'Eigen informatie GS &amp; warmtenet'!B59)</f>
        <v>0</v>
      </c>
      <c r="D5" s="30">
        <f>SUM(D6:D15)</f>
        <v>5804.3434088809236</v>
      </c>
      <c r="E5" s="17">
        <f>SUM(E6:E15)</f>
        <v>837.20379575895913</v>
      </c>
      <c r="F5" s="17">
        <f>SUM(F6:F15)</f>
        <v>3130.1305533470459</v>
      </c>
      <c r="G5" s="18"/>
      <c r="H5" s="17"/>
      <c r="I5" s="17"/>
      <c r="J5" s="17">
        <f>SUM(J6:J15)</f>
        <v>21.9254877691424</v>
      </c>
      <c r="K5" s="17"/>
      <c r="L5" s="17"/>
      <c r="M5" s="17"/>
      <c r="N5" s="17">
        <f>SUM(N6:N15)</f>
        <v>3654.8172490300672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58.254519443496399</v>
      </c>
      <c r="C8" s="33"/>
      <c r="D8" s="37">
        <f>IF( ISERROR(IND_metaal_Gas_kWH/1000),0,IND_metaal_Gas_kWH/1000)*0.902</f>
        <v>0</v>
      </c>
      <c r="E8" s="33">
        <f>C30*'E Balans VL '!I18/100/3.6*1000000</f>
        <v>1.6732884590582355</v>
      </c>
      <c r="F8" s="33">
        <f>C30*'E Balans VL '!L18/100/3.6*1000000+C30*'E Balans VL '!N18/100/3.6*1000000</f>
        <v>14.941163841834465</v>
      </c>
      <c r="G8" s="34"/>
      <c r="H8" s="33"/>
      <c r="I8" s="33"/>
      <c r="J8" s="40">
        <f>C30*'E Balans VL '!D18/100/3.6*1000000+C30*'E Balans VL '!E18/100/3.6*1000000</f>
        <v>0</v>
      </c>
      <c r="K8" s="33"/>
      <c r="L8" s="33"/>
      <c r="M8" s="33"/>
      <c r="N8" s="33">
        <f>C30*'E Balans VL '!Y18/100/3.6*1000000</f>
        <v>1.5817291172126218</v>
      </c>
      <c r="O8" s="33"/>
      <c r="P8" s="33"/>
      <c r="R8" s="32"/>
    </row>
    <row r="9" spans="1:18">
      <c r="A9" s="6" t="s">
        <v>33</v>
      </c>
      <c r="B9" s="37">
        <f t="shared" si="0"/>
        <v>1252.4387606021799</v>
      </c>
      <c r="C9" s="33"/>
      <c r="D9" s="37">
        <f>IF( ISERROR(IND_andere_gas_kWh/1000),0,IND_andere_gas_kWh/1000)*0.902</f>
        <v>934.38768798636511</v>
      </c>
      <c r="E9" s="33">
        <f>C31*'E Balans VL '!I19/100/3.6*1000000</f>
        <v>339.00437873254742</v>
      </c>
      <c r="F9" s="33">
        <f>C31*'E Balans VL '!L19/100/3.6*1000000+C31*'E Balans VL '!N19/100/3.6*1000000</f>
        <v>834.25675026734064</v>
      </c>
      <c r="G9" s="34"/>
      <c r="H9" s="33"/>
      <c r="I9" s="33"/>
      <c r="J9" s="40">
        <f>C31*'E Balans VL '!D19/100/3.6*1000000+C31*'E Balans VL '!E19/100/3.6*1000000</f>
        <v>0</v>
      </c>
      <c r="K9" s="33"/>
      <c r="L9" s="33"/>
      <c r="M9" s="33"/>
      <c r="N9" s="33">
        <f>C31*'E Balans VL '!Y19/100/3.6*1000000</f>
        <v>408.90045054767933</v>
      </c>
      <c r="O9" s="33"/>
      <c r="P9" s="33"/>
      <c r="R9" s="32"/>
    </row>
    <row r="10" spans="1:18">
      <c r="A10" s="6" t="s">
        <v>41</v>
      </c>
      <c r="B10" s="37">
        <f t="shared" si="0"/>
        <v>145.51408888058998</v>
      </c>
      <c r="C10" s="33"/>
      <c r="D10" s="37">
        <f>IF( ISERROR(IND_voed_gas_kWh/1000),0,IND_voed_gas_kWh/1000)*0.902</f>
        <v>197.16351589698289</v>
      </c>
      <c r="E10" s="33">
        <f>C32*'E Balans VL '!I20/100/3.6*1000000</f>
        <v>11.868463399020925</v>
      </c>
      <c r="F10" s="33">
        <f>C32*'E Balans VL '!L20/100/3.6*1000000+C32*'E Balans VL '!N20/100/3.6*1000000</f>
        <v>216.97470871589627</v>
      </c>
      <c r="G10" s="34"/>
      <c r="H10" s="33"/>
      <c r="I10" s="33"/>
      <c r="J10" s="40">
        <f>C32*'E Balans VL '!D20/100/3.6*1000000+C32*'E Balans VL '!E20/100/3.6*1000000</f>
        <v>1.9249747654813817E-3</v>
      </c>
      <c r="K10" s="33"/>
      <c r="L10" s="33"/>
      <c r="M10" s="33"/>
      <c r="N10" s="33">
        <f>C32*'E Balans VL '!Y20/100/3.6*1000000</f>
        <v>42.746904674577827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712.50547182023001</v>
      </c>
      <c r="C13" s="33"/>
      <c r="D13" s="37">
        <f>IF( ISERROR(IND_papier_gas_kWh/1000),0,IND_papier_gas_kWh/1000)*0.902</f>
        <v>155.77098041139993</v>
      </c>
      <c r="E13" s="33">
        <f>C35*'E Balans VL '!I23/100/3.6*1000000</f>
        <v>7.4647928438750757</v>
      </c>
      <c r="F13" s="33">
        <f>C35*'E Balans VL '!L23/100/3.6*1000000+C35*'E Balans VL '!N23/100/3.6*1000000</f>
        <v>53.167284595993941</v>
      </c>
      <c r="G13" s="34"/>
      <c r="H13" s="33"/>
      <c r="I13" s="33"/>
      <c r="J13" s="40">
        <f>C35*'E Balans VL '!D23/100/3.6*1000000+C35*'E Balans VL '!E23/100/3.6*1000000</f>
        <v>0</v>
      </c>
      <c r="K13" s="33"/>
      <c r="L13" s="33"/>
      <c r="M13" s="33"/>
      <c r="N13" s="33">
        <f>C35*'E Balans VL '!Y23/100/3.6*1000000</f>
        <v>1522.9060769542191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8553.6577788138402</v>
      </c>
      <c r="C15" s="33"/>
      <c r="D15" s="37">
        <f>IF( ISERROR(IND_rest_gas_kWh/1000),0,IND_rest_gas_kWh/1000)*0.902</f>
        <v>4517.0212245861758</v>
      </c>
      <c r="E15" s="33">
        <f>C37*'E Balans VL '!I15/100/3.6*1000000</f>
        <v>477.19287232445748</v>
      </c>
      <c r="F15" s="33">
        <f>C37*'E Balans VL '!L15/100/3.6*1000000+C37*'E Balans VL '!N15/100/3.6*1000000</f>
        <v>2010.7906459259805</v>
      </c>
      <c r="G15" s="34"/>
      <c r="H15" s="33"/>
      <c r="I15" s="33"/>
      <c r="J15" s="40">
        <f>C37*'E Balans VL '!D15/100/3.6*1000000+C37*'E Balans VL '!E15/100/3.6*1000000</f>
        <v>21.92356279437692</v>
      </c>
      <c r="K15" s="33"/>
      <c r="L15" s="33"/>
      <c r="M15" s="33"/>
      <c r="N15" s="33">
        <f>C37*'E Balans VL '!Y15/100/3.6*1000000</f>
        <v>1678.6820877363784</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10722.370619560337</v>
      </c>
      <c r="C18" s="21">
        <f>C5+C16</f>
        <v>0</v>
      </c>
      <c r="D18" s="21">
        <f>MAX((D5+D16),0)</f>
        <v>5804.3434088809236</v>
      </c>
      <c r="E18" s="21">
        <f>MAX((E5+E16),0)</f>
        <v>837.20379575895913</v>
      </c>
      <c r="F18" s="21">
        <f>MAX((F5+F16),0)</f>
        <v>3130.1305533470459</v>
      </c>
      <c r="G18" s="21"/>
      <c r="H18" s="21"/>
      <c r="I18" s="21"/>
      <c r="J18" s="21">
        <f>MAX((J5+J16),0)</f>
        <v>21.9254877691424</v>
      </c>
      <c r="K18" s="21"/>
      <c r="L18" s="21">
        <f>MAX((L5+L16),0)</f>
        <v>0</v>
      </c>
      <c r="M18" s="21"/>
      <c r="N18" s="21">
        <f>MAX((N5+N16),0)</f>
        <v>3654.8172490300672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0.20919333340329019</v>
      </c>
      <c r="C20" s="25">
        <f ca="1">'EF ele_warmte'!B22</f>
        <v>0.23764705882352938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2243.048451891329</v>
      </c>
      <c r="C22" s="23">
        <f ca="1">C18*C20</f>
        <v>0</v>
      </c>
      <c r="D22" s="23">
        <f>D18*D20</f>
        <v>1172.4773685939467</v>
      </c>
      <c r="E22" s="23">
        <f>E18*E20</f>
        <v>190.04526163728372</v>
      </c>
      <c r="F22" s="23">
        <f>F18*F20</f>
        <v>835.74485774366133</v>
      </c>
      <c r="G22" s="23"/>
      <c r="H22" s="23"/>
      <c r="I22" s="23"/>
      <c r="J22" s="23">
        <f>J18*J20</f>
        <v>7.7616226702764095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58.254519443496399</v>
      </c>
      <c r="C30" s="39">
        <f>IF(ISERROR(B30*3.6/1000000/'E Balans VL '!Z18*100),0,B30*3.6/1000000/'E Balans VL '!Z18*100)</f>
        <v>5.7320960052930298E-3</v>
      </c>
      <c r="D30" s="239" t="s">
        <v>692</v>
      </c>
    </row>
    <row r="31" spans="1:18">
      <c r="A31" s="6" t="s">
        <v>33</v>
      </c>
      <c r="B31" s="37">
        <f>IF( ISERROR(IND_ander_ele_kWh/1000),0,IND_ander_ele_kWh/1000)</f>
        <v>1252.4387606021799</v>
      </c>
      <c r="C31" s="39">
        <f>IF(ISERROR(B31*3.6/1000000/'E Balans VL '!Z19*100),0,B31*3.6/1000000/'E Balans VL '!Z19*100)</f>
        <v>5.454270896366701E-2</v>
      </c>
      <c r="D31" s="239" t="s">
        <v>692</v>
      </c>
    </row>
    <row r="32" spans="1:18">
      <c r="A32" s="173" t="s">
        <v>41</v>
      </c>
      <c r="B32" s="37">
        <f>IF( ISERROR(IND_voed_ele_kWh/1000),0,IND_voed_ele_kWh/1000)</f>
        <v>145.51408888058998</v>
      </c>
      <c r="C32" s="39">
        <f>IF(ISERROR(B32*3.6/1000000/'E Balans VL '!Z20*100),0,B32*3.6/1000000/'E Balans VL '!Z20*100)</f>
        <v>2.7609199823636261E-2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712.50547182023001</v>
      </c>
      <c r="C35" s="39">
        <f>IF(ISERROR(B35*3.6/1000000/'E Balans VL '!Z22*100),0,B35*3.6/1000000/'E Balans VL '!Z22*100)</f>
        <v>0.10018542409486124</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8553.6577788138402</v>
      </c>
      <c r="C37" s="39">
        <f>IF(ISERROR(B37*3.6/1000000/'E Balans VL '!Z15*100),0,B37*3.6/1000000/'E Balans VL '!Z15*100)</f>
        <v>6.5916439243111344E-2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577.50078460577811</v>
      </c>
      <c r="C5" s="17">
        <f>'Eigen informatie GS &amp; warmtenet'!B60</f>
        <v>0</v>
      </c>
      <c r="D5" s="30">
        <f>IF(ISERROR(SUM(LB_lb_gas_kWh,LB_rest_gas_kWh,onbekend_gas_kWh)/1000),0,SUM(LB_lb_gas_kWh,LB_rest_gas_kWh,onbekend_gas_kWh)/1000)*0.902</f>
        <v>23522.194340207068</v>
      </c>
      <c r="E5" s="17">
        <f>B17*'E Balans VL '!I25/3.6*1000000/100</f>
        <v>7.2772538583082476</v>
      </c>
      <c r="F5" s="17">
        <f>B17*('E Balans VL '!L25/3.6*1000000+'E Balans VL '!N25/3.6*1000000)/100</f>
        <v>1992.5223794810204</v>
      </c>
      <c r="G5" s="18"/>
      <c r="H5" s="17"/>
      <c r="I5" s="17"/>
      <c r="J5" s="17">
        <f>('E Balans VL '!D25+'E Balans VL '!E25)/3.6*1000000*landbouw!B17/100</f>
        <v>86.849553207482899</v>
      </c>
      <c r="K5" s="17"/>
      <c r="L5" s="17">
        <f>L6*(-1)</f>
        <v>0</v>
      </c>
      <c r="M5" s="17"/>
      <c r="N5" s="17">
        <f>N6*(-1)</f>
        <v>0</v>
      </c>
      <c r="O5" s="17"/>
      <c r="P5" s="17"/>
      <c r="R5" s="32"/>
    </row>
    <row r="6" spans="1:18">
      <c r="A6" s="16" t="s">
        <v>497</v>
      </c>
      <c r="B6" s="17" t="s">
        <v>211</v>
      </c>
      <c r="C6" s="17">
        <f>'lokale energieproductie'!O91+'lokale energieproductie'!O60</f>
        <v>12947.142857142855</v>
      </c>
      <c r="D6" s="312">
        <f>('lokale energieproductie'!P60+'lokale energieproductie'!P91)*(-1)</f>
        <v>-25894.28571428571</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577.50078460577811</v>
      </c>
      <c r="C8" s="21">
        <f>C5+C6</f>
        <v>12947.142857142855</v>
      </c>
      <c r="D8" s="21">
        <f>MAX((D5+D6),0)</f>
        <v>0</v>
      </c>
      <c r="E8" s="21">
        <f>MAX((E5+E6),0)</f>
        <v>7.2772538583082476</v>
      </c>
      <c r="F8" s="21">
        <f>MAX((F5+F6),0)</f>
        <v>1992.5223794810204</v>
      </c>
      <c r="G8" s="21"/>
      <c r="H8" s="21"/>
      <c r="I8" s="21"/>
      <c r="J8" s="21">
        <f>MAX((J5+J6),0)</f>
        <v>86.849553207482899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0.20919333340329019</v>
      </c>
      <c r="C10" s="31">
        <f ca="1">'EF ele_warmte'!B22</f>
        <v>0.23764705882352938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120.80931417469822</v>
      </c>
      <c r="C12" s="23">
        <f ca="1">C8*C10</f>
        <v>3076.8504201680662</v>
      </c>
      <c r="D12" s="23">
        <f>D8*D10</f>
        <v>0</v>
      </c>
      <c r="E12" s="23">
        <f>E8*E10</f>
        <v>1.6519366258359722</v>
      </c>
      <c r="F12" s="23">
        <f>F8*F10</f>
        <v>532.00347532143246</v>
      </c>
      <c r="G12" s="23"/>
      <c r="H12" s="23"/>
      <c r="I12" s="23"/>
      <c r="J12" s="23">
        <f>J8*J10</f>
        <v>30.744741835448945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8.0543157684320577E-2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81.545829111356809</v>
      </c>
      <c r="C26" s="249">
        <f>B26*'GWP N2O_CH4'!B5</f>
        <v>1712.462411338493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7.4544844061321038</v>
      </c>
      <c r="C27" s="249">
        <f>B27*'GWP N2O_CH4'!B5</f>
        <v>156.54417252877417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1.2312345360386139</v>
      </c>
      <c r="C28" s="249">
        <f>B28*'GWP N2O_CH4'!B4</f>
        <v>381.68270617197032</v>
      </c>
      <c r="D28" s="50"/>
    </row>
    <row r="29" spans="1:4">
      <c r="A29" s="41" t="s">
        <v>277</v>
      </c>
      <c r="B29" s="249">
        <f>B34*'ha_N2O bodem landbouw'!B4</f>
        <v>8.6549748982008445</v>
      </c>
      <c r="C29" s="249">
        <f>B29*'GWP N2O_CH4'!B4</f>
        <v>2683.0422184422619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2.1610607491578111E-3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2.2155250066257385E-5</v>
      </c>
      <c r="C5" s="448" t="s">
        <v>211</v>
      </c>
      <c r="D5" s="433">
        <f>SUM(D6:D11)</f>
        <v>3.9074499492516784E-5</v>
      </c>
      <c r="E5" s="433">
        <f>SUM(E6:E11)</f>
        <v>1.21067744293787E-3</v>
      </c>
      <c r="F5" s="446" t="s">
        <v>211</v>
      </c>
      <c r="G5" s="433">
        <f>SUM(G6:G11)</f>
        <v>0.27286641157920272</v>
      </c>
      <c r="H5" s="433">
        <f>SUM(H6:H11)</f>
        <v>5.8423516275768868E-2</v>
      </c>
      <c r="I5" s="448" t="s">
        <v>211</v>
      </c>
      <c r="J5" s="448" t="s">
        <v>211</v>
      </c>
      <c r="K5" s="448" t="s">
        <v>211</v>
      </c>
      <c r="L5" s="448" t="s">
        <v>211</v>
      </c>
      <c r="M5" s="433">
        <f>SUM(M6:M11)</f>
        <v>1.4981343332627009E-2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1.3063296764729607E-5</v>
      </c>
      <c r="C6" s="949"/>
      <c r="D6" s="949">
        <f>vkm_2011_GW_PW*SUMIFS(TableVerdeelsleutelVkm[CNG],TableVerdeelsleutelVkm[Voertuigtype],"Lichte voertuigen")*SUMIFS(TableECFTransport[EnergieConsumptieFactor (PJ per km)],TableECFTransport[Index],CONCATENATE($A6,"_CNG_CNG"))</f>
        <v>1.8500183146465057E-5</v>
      </c>
      <c r="E6" s="949">
        <f>vkm_2011_GW_PW*SUMIFS(TableVerdeelsleutelVkm[LPG],TableVerdeelsleutelVkm[Voertuigtype],"Lichte voertuigen")*SUMIFS(TableECFTransport[EnergieConsumptieFactor (PJ per km)],TableECFTransport[Index],CONCATENATE($A6,"_LPG_LPG"))</f>
        <v>5.8102984841966552E-4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0.10442697354312076</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2.7982047843227276E-2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5.9906072107073311E-3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4.2846835580039669E-2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1.5223036498620014E-5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1.9335420888455382E-3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6.8277215707074597E-6</v>
      </c>
      <c r="C8" s="949"/>
      <c r="D8" s="436">
        <f>vkm_2011_NGW_PW*SUMIFS(TableVerdeelsleutelVkm[CNG],TableVerdeelsleutelVkm[Voertuigtype],"Lichte voertuigen")*SUMIFS(TableECFTransport[EnergieConsumptieFactor (PJ per km)],TableECFTransport[Index],CONCATENATE($A8,"_CNG_CNG"))</f>
        <v>1.7226181580675176E-5</v>
      </c>
      <c r="E8" s="436">
        <f>vkm_2011_NGW_PW*SUMIFS(TableVerdeelsleutelVkm[LPG],TableVerdeelsleutelVkm[Voertuigtype],"Lichte voertuigen")*SUMIFS(TableECFTransport[EnergieConsumptieFactor (PJ per km)],TableECFTransport[Index],CONCATENATE($A8,"_LPG_LPG"))</f>
        <v>4.9831470024094284E-4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8.4469173846792214E-2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2.5140593712368146E-2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4.96033651473771E-3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9.8421593915120325E-3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3.3090065852609485E-6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4.4413691495455963E-4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2.2642317308203179E-6</v>
      </c>
      <c r="C10" s="949"/>
      <c r="D10" s="436">
        <f>vkm_2011_SW_PW*SUMIFS(TableVerdeelsleutelVkm[CNG],TableVerdeelsleutelVkm[Voertuigtype],"Lichte voertuigen")*SUMIFS(TableECFTransport[EnergieConsumptieFactor (PJ per km)],TableECFTransport[Index],CONCATENATE($A10,"_CNG_CNG"))</f>
        <v>3.3481347653765527E-6</v>
      </c>
      <c r="E10" s="436">
        <f>vkm_2011_SW_PW*SUMIFS(TableVerdeelsleutelVkm[LPG],TableVerdeelsleutelVkm[Voertuigtype],"Lichte voertuigen")*SUMIFS(TableECFTransport[EnergieConsumptieFactor (PJ per km)],TableECFTransport[Index],CONCATENATE($A10,"_LPG_LPG"))</f>
        <v>1.313328942772616E-4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2.1377134237870299E-2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5.2785479677817061E-3</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1.2057657182703943E-3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9.9041349798677149E-3</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3.7947093078617453E-6</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4.4695488511147668E-4</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6.1542361295159402</v>
      </c>
      <c r="C14" s="21"/>
      <c r="D14" s="21">
        <f t="shared" ref="D14:M14" si="0">((D5)*10^9/3600)+D12</f>
        <v>10.854027636810217</v>
      </c>
      <c r="E14" s="21">
        <f t="shared" si="0"/>
        <v>336.29928970496388</v>
      </c>
      <c r="F14" s="21"/>
      <c r="G14" s="21">
        <f t="shared" si="0"/>
        <v>75796.225438667418</v>
      </c>
      <c r="H14" s="21">
        <f t="shared" si="0"/>
        <v>16228.754521046909</v>
      </c>
      <c r="I14" s="21"/>
      <c r="J14" s="21"/>
      <c r="K14" s="21"/>
      <c r="L14" s="21"/>
      <c r="M14" s="21">
        <f t="shared" si="0"/>
        <v>4161.4842590630578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0.20919333340329019</v>
      </c>
      <c r="C16" s="56">
        <f ca="1">'EF ele_warmte'!B22</f>
        <v>0.23764705882352938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1.2874251704844022</v>
      </c>
      <c r="C18" s="23"/>
      <c r="D18" s="23">
        <f t="shared" ref="D18:M18" si="1">D14*D16</f>
        <v>2.1925135826356641</v>
      </c>
      <c r="E18" s="23">
        <f t="shared" si="1"/>
        <v>76.339938763026808</v>
      </c>
      <c r="F18" s="23"/>
      <c r="G18" s="23">
        <f t="shared" si="1"/>
        <v>20237.592192124201</v>
      </c>
      <c r="H18" s="23">
        <f t="shared" si="1"/>
        <v>4040.9598757406802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1.7442091979317655E-2</v>
      </c>
      <c r="H50" s="323">
        <f t="shared" si="2"/>
        <v>0</v>
      </c>
      <c r="I50" s="323">
        <f t="shared" si="2"/>
        <v>0</v>
      </c>
      <c r="J50" s="323">
        <f t="shared" si="2"/>
        <v>0</v>
      </c>
      <c r="K50" s="323">
        <f t="shared" si="2"/>
        <v>0</v>
      </c>
      <c r="L50" s="323">
        <f t="shared" si="2"/>
        <v>0</v>
      </c>
      <c r="M50" s="323">
        <f t="shared" si="2"/>
        <v>7.7569249221870159E-4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1.7442091979317655E-2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7.7569249221870159E-4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4845.0255498104598</v>
      </c>
      <c r="H54" s="21">
        <f t="shared" si="3"/>
        <v>0</v>
      </c>
      <c r="I54" s="21">
        <f t="shared" si="3"/>
        <v>0</v>
      </c>
      <c r="J54" s="21">
        <f t="shared" si="3"/>
        <v>0</v>
      </c>
      <c r="K54" s="21">
        <f t="shared" si="3"/>
        <v>0</v>
      </c>
      <c r="L54" s="21">
        <f t="shared" si="3"/>
        <v>0</v>
      </c>
      <c r="M54" s="21">
        <f t="shared" si="3"/>
        <v>215.47013672741713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0.20919333340329019</v>
      </c>
      <c r="C56" s="56">
        <f ca="1">'EF ele_warmte'!B22</f>
        <v>0.23764705882352938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1293.6218217993928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4408.0512347344829</v>
      </c>
      <c r="C6" s="1251"/>
      <c r="D6" s="1236"/>
      <c r="E6" s="1236"/>
      <c r="F6" s="1254"/>
      <c r="G6" s="1257"/>
      <c r="H6" s="1248"/>
      <c r="I6" s="1236"/>
      <c r="J6" s="1236"/>
      <c r="K6" s="1236"/>
      <c r="L6" s="1240"/>
      <c r="M6" s="561"/>
      <c r="N6" s="1214"/>
      <c r="O6" s="1215"/>
      <c r="Q6" s="559"/>
      <c r="R6" s="1202"/>
      <c r="S6" s="1202"/>
    </row>
    <row r="7" spans="1:19" s="549" customFormat="1">
      <c r="A7" s="562" t="s">
        <v>252</v>
      </c>
      <c r="B7" s="563">
        <f>N57</f>
        <v>9062.9999999999982</v>
      </c>
      <c r="C7" s="564">
        <f>B100</f>
        <v>10662.352941176468</v>
      </c>
      <c r="D7" s="565"/>
      <c r="E7" s="565">
        <f>E100</f>
        <v>0</v>
      </c>
      <c r="F7" s="566"/>
      <c r="G7" s="567"/>
      <c r="H7" s="565">
        <f>I100</f>
        <v>0</v>
      </c>
      <c r="I7" s="565">
        <f>G100+F100</f>
        <v>0</v>
      </c>
      <c r="J7" s="565">
        <f>H100+D100+C100</f>
        <v>0</v>
      </c>
      <c r="K7" s="565"/>
      <c r="L7" s="568"/>
      <c r="M7" s="569">
        <f>C7*$C$11+D7*$D$11+E7*$E$11+F7*$F$11+G7*$G$11+H7*$H$11+I7*$I$11+J7*$J$11</f>
        <v>2153.7952941176468</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13471.051234734481</v>
      </c>
      <c r="C9" s="580">
        <f t="shared" ref="C9:L9" si="0">SUM(C7:C8)</f>
        <v>10662.352941176468</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2153.7952941176468</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12947.142857142855</v>
      </c>
      <c r="C16" s="596">
        <f>B101</f>
        <v>15231.932773109238</v>
      </c>
      <c r="D16" s="597"/>
      <c r="E16" s="597">
        <f>E101</f>
        <v>0</v>
      </c>
      <c r="F16" s="598"/>
      <c r="G16" s="599"/>
      <c r="H16" s="596">
        <f>I101</f>
        <v>0</v>
      </c>
      <c r="I16" s="597">
        <f>G101+F101</f>
        <v>0</v>
      </c>
      <c r="J16" s="597">
        <f>H101+D101+C101</f>
        <v>0</v>
      </c>
      <c r="K16" s="597"/>
      <c r="L16" s="600"/>
      <c r="M16" s="601">
        <f>C16*$C$21+E16*$E$21+H16*$H$21+I16*$I$21+J16*$J$21+D16*$D$21+F16*$F$21+G16*$G$21+K16*$K$21+L16*$L$21</f>
        <v>3076.8504201680662</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12947.142857142855</v>
      </c>
      <c r="C19" s="579">
        <f>SUM(C16:C18)</f>
        <v>15231.932773109238</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3076.8504201680662</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24038</v>
      </c>
      <c r="C27" s="839">
        <v>3020</v>
      </c>
      <c r="D27" s="658" t="s">
        <v>878</v>
      </c>
      <c r="E27" s="657" t="s">
        <v>879</v>
      </c>
      <c r="F27" s="657" t="s">
        <v>880</v>
      </c>
      <c r="G27" s="657" t="s">
        <v>881</v>
      </c>
      <c r="H27" s="657" t="s">
        <v>882</v>
      </c>
      <c r="I27" s="657" t="s">
        <v>879</v>
      </c>
      <c r="J27" s="838">
        <v>40091</v>
      </c>
      <c r="K27" s="838">
        <v>40091</v>
      </c>
      <c r="L27" s="657" t="s">
        <v>883</v>
      </c>
      <c r="M27" s="657">
        <v>2014</v>
      </c>
      <c r="N27" s="657">
        <v>9062.9999999999982</v>
      </c>
      <c r="O27" s="657">
        <v>12947.142857142855</v>
      </c>
      <c r="P27" s="657">
        <v>25894.28571428571</v>
      </c>
      <c r="Q27" s="657">
        <v>0</v>
      </c>
      <c r="R27" s="657">
        <v>0</v>
      </c>
      <c r="S27" s="657">
        <v>0</v>
      </c>
      <c r="T27" s="657">
        <v>0</v>
      </c>
      <c r="U27" s="657">
        <v>0</v>
      </c>
      <c r="V27" s="657">
        <v>0</v>
      </c>
      <c r="W27" s="657">
        <v>0</v>
      </c>
      <c r="X27" s="657">
        <v>10</v>
      </c>
      <c r="Y27" s="657" t="s">
        <v>112</v>
      </c>
      <c r="Z27" s="659" t="s">
        <v>112</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2014</v>
      </c>
      <c r="N57" s="615">
        <f>SUM(N27:N56)</f>
        <v>9062.9999999999982</v>
      </c>
      <c r="O57" s="615">
        <f t="shared" ref="O57:W57" si="2">SUM(O27:O56)</f>
        <v>12947.142857142855</v>
      </c>
      <c r="P57" s="615">
        <f t="shared" si="2"/>
        <v>25894.28571428571</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2014</v>
      </c>
      <c r="N60" s="620">
        <f t="shared" ref="N60:W60" si="4">SUMIF($Z$27:$Z$56,"landbouw",N27:N56)</f>
        <v>9062.9999999999982</v>
      </c>
      <c r="O60" s="620">
        <f t="shared" si="4"/>
        <v>12947.142857142855</v>
      </c>
      <c r="P60" s="620">
        <f t="shared" si="4"/>
        <v>25894.28571428571</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0.58823529411764697</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10662.352941176468</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15231.932773109238</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21925.569312190262</v>
      </c>
      <c r="D10" s="704">
        <f ca="1">tertiair!C16</f>
        <v>0</v>
      </c>
      <c r="E10" s="704">
        <f ca="1">tertiair!D16</f>
        <v>22969.001471593408</v>
      </c>
      <c r="F10" s="704">
        <f>tertiair!E16</f>
        <v>248.45650753976764</v>
      </c>
      <c r="G10" s="704">
        <f ca="1">tertiair!F16</f>
        <v>3974.5574824785872</v>
      </c>
      <c r="H10" s="704">
        <f>tertiair!G16</f>
        <v>0</v>
      </c>
      <c r="I10" s="704">
        <f>tertiair!H16</f>
        <v>0</v>
      </c>
      <c r="J10" s="704">
        <f>tertiair!I16</f>
        <v>0</v>
      </c>
      <c r="K10" s="704">
        <f>tertiair!J16</f>
        <v>0</v>
      </c>
      <c r="L10" s="704">
        <f>tertiair!K16</f>
        <v>0</v>
      </c>
      <c r="M10" s="704">
        <f ca="1">tertiair!L16</f>
        <v>0</v>
      </c>
      <c r="N10" s="704">
        <f>tertiair!M16</f>
        <v>0</v>
      </c>
      <c r="O10" s="704">
        <f ca="1">tertiair!N16</f>
        <v>1927.5236517271089</v>
      </c>
      <c r="P10" s="704">
        <f>tertiair!O16</f>
        <v>0</v>
      </c>
      <c r="Q10" s="705">
        <f>tertiair!P16</f>
        <v>76.266666666666666</v>
      </c>
      <c r="R10" s="707">
        <f ca="1">SUM(C10:Q10)</f>
        <v>51121.375092195805</v>
      </c>
      <c r="S10" s="67"/>
    </row>
    <row r="11" spans="1:19" s="459" customFormat="1">
      <c r="A11" s="858" t="s">
        <v>225</v>
      </c>
      <c r="B11" s="863"/>
      <c r="C11" s="704">
        <f>huishoudens!B8</f>
        <v>36500.79073104851</v>
      </c>
      <c r="D11" s="704">
        <f>huishoudens!C8</f>
        <v>0</v>
      </c>
      <c r="E11" s="704">
        <f>huishoudens!D8</f>
        <v>90174.244674091431</v>
      </c>
      <c r="F11" s="704">
        <f>huishoudens!E8</f>
        <v>4170.0344941157573</v>
      </c>
      <c r="G11" s="704">
        <f>huishoudens!F8</f>
        <v>30136.902764325754</v>
      </c>
      <c r="H11" s="704">
        <f>huishoudens!G8</f>
        <v>0</v>
      </c>
      <c r="I11" s="704">
        <f>huishoudens!H8</f>
        <v>0</v>
      </c>
      <c r="J11" s="704">
        <f>huishoudens!I8</f>
        <v>0</v>
      </c>
      <c r="K11" s="704">
        <f>huishoudens!J8</f>
        <v>0</v>
      </c>
      <c r="L11" s="704">
        <f>huishoudens!K8</f>
        <v>0</v>
      </c>
      <c r="M11" s="704">
        <f>huishoudens!L8</f>
        <v>0</v>
      </c>
      <c r="N11" s="704">
        <f>huishoudens!M8</f>
        <v>0</v>
      </c>
      <c r="O11" s="704">
        <f>huishoudens!N8</f>
        <v>11830.496781782154</v>
      </c>
      <c r="P11" s="704">
        <f>huishoudens!O8</f>
        <v>284.52666666666664</v>
      </c>
      <c r="Q11" s="705">
        <f>huishoudens!P8</f>
        <v>915.2</v>
      </c>
      <c r="R11" s="707">
        <f>SUM(C11:Q11)</f>
        <v>174012.19611203027</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10722.370619560337</v>
      </c>
      <c r="D13" s="704">
        <f>industrie!C18</f>
        <v>0</v>
      </c>
      <c r="E13" s="704">
        <f>industrie!D18</f>
        <v>5804.3434088809236</v>
      </c>
      <c r="F13" s="704">
        <f>industrie!E18</f>
        <v>837.20379575895913</v>
      </c>
      <c r="G13" s="704">
        <f>industrie!F18</f>
        <v>3130.1305533470459</v>
      </c>
      <c r="H13" s="704">
        <f>industrie!G18</f>
        <v>0</v>
      </c>
      <c r="I13" s="704">
        <f>industrie!H18</f>
        <v>0</v>
      </c>
      <c r="J13" s="704">
        <f>industrie!I18</f>
        <v>0</v>
      </c>
      <c r="K13" s="704">
        <f>industrie!J18</f>
        <v>21.9254877691424</v>
      </c>
      <c r="L13" s="704">
        <f>industrie!K18</f>
        <v>0</v>
      </c>
      <c r="M13" s="704">
        <f>industrie!L18</f>
        <v>0</v>
      </c>
      <c r="N13" s="704">
        <f>industrie!M18</f>
        <v>0</v>
      </c>
      <c r="O13" s="704">
        <f>industrie!N18</f>
        <v>3654.8172490300672</v>
      </c>
      <c r="P13" s="704">
        <f>industrie!O18</f>
        <v>0</v>
      </c>
      <c r="Q13" s="705">
        <f>industrie!P18</f>
        <v>0</v>
      </c>
      <c r="R13" s="707">
        <f>SUM(C13:Q13)</f>
        <v>24170.791114346477</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69148.73066279912</v>
      </c>
      <c r="D15" s="709">
        <f t="shared" ref="D15:Q15" ca="1" si="0">SUM(D9:D14)</f>
        <v>0</v>
      </c>
      <c r="E15" s="709">
        <f t="shared" ca="1" si="0"/>
        <v>118947.58955456577</v>
      </c>
      <c r="F15" s="709">
        <f t="shared" si="0"/>
        <v>5255.6947974144841</v>
      </c>
      <c r="G15" s="709">
        <f t="shared" ca="1" si="0"/>
        <v>37241.590800151389</v>
      </c>
      <c r="H15" s="709">
        <f t="shared" si="0"/>
        <v>0</v>
      </c>
      <c r="I15" s="709">
        <f t="shared" si="0"/>
        <v>0</v>
      </c>
      <c r="J15" s="709">
        <f t="shared" si="0"/>
        <v>0</v>
      </c>
      <c r="K15" s="709">
        <f t="shared" si="0"/>
        <v>21.9254877691424</v>
      </c>
      <c r="L15" s="709">
        <f t="shared" si="0"/>
        <v>0</v>
      </c>
      <c r="M15" s="709">
        <f t="shared" ca="1" si="0"/>
        <v>0</v>
      </c>
      <c r="N15" s="709">
        <f t="shared" si="0"/>
        <v>0</v>
      </c>
      <c r="O15" s="709">
        <f t="shared" ca="1" si="0"/>
        <v>17412.837682539332</v>
      </c>
      <c r="P15" s="709">
        <f t="shared" si="0"/>
        <v>284.52666666666664</v>
      </c>
      <c r="Q15" s="710">
        <f t="shared" si="0"/>
        <v>991.4666666666667</v>
      </c>
      <c r="R15" s="711">
        <f ca="1">SUM(R9:R14)</f>
        <v>249304.36231857256</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4845.0255498104598</v>
      </c>
      <c r="I18" s="704">
        <f>transport!H54</f>
        <v>0</v>
      </c>
      <c r="J18" s="704">
        <f>transport!I54</f>
        <v>0</v>
      </c>
      <c r="K18" s="704">
        <f>transport!J54</f>
        <v>0</v>
      </c>
      <c r="L18" s="704">
        <f>transport!K54</f>
        <v>0</v>
      </c>
      <c r="M18" s="704">
        <f>transport!L54</f>
        <v>0</v>
      </c>
      <c r="N18" s="704">
        <f>transport!M54</f>
        <v>215.47013672741713</v>
      </c>
      <c r="O18" s="704">
        <f>transport!N54</f>
        <v>0</v>
      </c>
      <c r="P18" s="704">
        <f>transport!O54</f>
        <v>0</v>
      </c>
      <c r="Q18" s="705">
        <f>transport!P54</f>
        <v>0</v>
      </c>
      <c r="R18" s="707">
        <f>SUM(C18:Q18)</f>
        <v>5060.4956865378772</v>
      </c>
      <c r="S18" s="67"/>
    </row>
    <row r="19" spans="1:19" s="459" customFormat="1" ht="15" thickBot="1">
      <c r="A19" s="858" t="s">
        <v>307</v>
      </c>
      <c r="B19" s="863"/>
      <c r="C19" s="713">
        <f>transport!B14</f>
        <v>6.1542361295159402</v>
      </c>
      <c r="D19" s="713">
        <f>transport!C14</f>
        <v>0</v>
      </c>
      <c r="E19" s="713">
        <f>transport!D14</f>
        <v>10.854027636810217</v>
      </c>
      <c r="F19" s="713">
        <f>transport!E14</f>
        <v>336.29928970496388</v>
      </c>
      <c r="G19" s="713">
        <f>transport!F14</f>
        <v>0</v>
      </c>
      <c r="H19" s="713">
        <f>transport!G14</f>
        <v>75796.225438667418</v>
      </c>
      <c r="I19" s="713">
        <f>transport!H14</f>
        <v>16228.754521046909</v>
      </c>
      <c r="J19" s="713">
        <f>transport!I14</f>
        <v>0</v>
      </c>
      <c r="K19" s="713">
        <f>transport!J14</f>
        <v>0</v>
      </c>
      <c r="L19" s="713">
        <f>transport!K14</f>
        <v>0</v>
      </c>
      <c r="M19" s="713">
        <f>transport!L14</f>
        <v>0</v>
      </c>
      <c r="N19" s="713">
        <f>transport!M14</f>
        <v>4161.4842590630578</v>
      </c>
      <c r="O19" s="713">
        <f>transport!N14</f>
        <v>0</v>
      </c>
      <c r="P19" s="713">
        <f>transport!O14</f>
        <v>0</v>
      </c>
      <c r="Q19" s="714">
        <f>transport!P14</f>
        <v>0</v>
      </c>
      <c r="R19" s="715">
        <f>SUM(C19:Q19)</f>
        <v>96539.77177224867</v>
      </c>
      <c r="S19" s="67"/>
    </row>
    <row r="20" spans="1:19" s="459" customFormat="1" ht="15.75" thickBot="1">
      <c r="A20" s="716" t="s">
        <v>230</v>
      </c>
      <c r="B20" s="866"/>
      <c r="C20" s="861">
        <f>SUM(C17:C19)</f>
        <v>6.1542361295159402</v>
      </c>
      <c r="D20" s="717">
        <f t="shared" ref="D20:R20" si="1">SUM(D17:D19)</f>
        <v>0</v>
      </c>
      <c r="E20" s="717">
        <f t="shared" si="1"/>
        <v>10.854027636810217</v>
      </c>
      <c r="F20" s="717">
        <f t="shared" si="1"/>
        <v>336.29928970496388</v>
      </c>
      <c r="G20" s="717">
        <f t="shared" si="1"/>
        <v>0</v>
      </c>
      <c r="H20" s="717">
        <f t="shared" si="1"/>
        <v>80641.25098847787</v>
      </c>
      <c r="I20" s="717">
        <f t="shared" si="1"/>
        <v>16228.754521046909</v>
      </c>
      <c r="J20" s="717">
        <f t="shared" si="1"/>
        <v>0</v>
      </c>
      <c r="K20" s="717">
        <f t="shared" si="1"/>
        <v>0</v>
      </c>
      <c r="L20" s="717">
        <f t="shared" si="1"/>
        <v>0</v>
      </c>
      <c r="M20" s="717">
        <f t="shared" si="1"/>
        <v>0</v>
      </c>
      <c r="N20" s="717">
        <f t="shared" si="1"/>
        <v>4376.9543957904752</v>
      </c>
      <c r="O20" s="717">
        <f t="shared" si="1"/>
        <v>0</v>
      </c>
      <c r="P20" s="717">
        <f t="shared" si="1"/>
        <v>0</v>
      </c>
      <c r="Q20" s="718">
        <f t="shared" si="1"/>
        <v>0</v>
      </c>
      <c r="R20" s="719">
        <f t="shared" si="1"/>
        <v>101600.26745878655</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577.50078460577811</v>
      </c>
      <c r="D22" s="713">
        <f>+landbouw!C8</f>
        <v>12947.142857142855</v>
      </c>
      <c r="E22" s="713">
        <f>+landbouw!D8</f>
        <v>0</v>
      </c>
      <c r="F22" s="713">
        <f>+landbouw!E8</f>
        <v>7.2772538583082476</v>
      </c>
      <c r="G22" s="713">
        <f>+landbouw!F8</f>
        <v>1992.5223794810204</v>
      </c>
      <c r="H22" s="713">
        <f>+landbouw!G8</f>
        <v>0</v>
      </c>
      <c r="I22" s="713">
        <f>+landbouw!H8</f>
        <v>0</v>
      </c>
      <c r="J22" s="713">
        <f>+landbouw!I8</f>
        <v>0</v>
      </c>
      <c r="K22" s="713">
        <f>+landbouw!J8</f>
        <v>86.849553207482899</v>
      </c>
      <c r="L22" s="713">
        <f>+landbouw!K8</f>
        <v>0</v>
      </c>
      <c r="M22" s="713">
        <f>+landbouw!L8</f>
        <v>0</v>
      </c>
      <c r="N22" s="713">
        <f>+landbouw!M8</f>
        <v>0</v>
      </c>
      <c r="O22" s="713">
        <f>+landbouw!N8</f>
        <v>0</v>
      </c>
      <c r="P22" s="713">
        <f>+landbouw!O8</f>
        <v>0</v>
      </c>
      <c r="Q22" s="714">
        <f>+landbouw!P8</f>
        <v>0</v>
      </c>
      <c r="R22" s="715">
        <f>SUM(C22:Q22)</f>
        <v>15611.292828295445</v>
      </c>
      <c r="S22" s="67"/>
    </row>
    <row r="23" spans="1:19" s="459" customFormat="1" ht="17.25" thickTop="1" thickBot="1">
      <c r="A23" s="720" t="s">
        <v>116</v>
      </c>
      <c r="B23" s="852"/>
      <c r="C23" s="721">
        <f ca="1">C20+C15+C22</f>
        <v>69732.38568353442</v>
      </c>
      <c r="D23" s="721">
        <f t="shared" ref="D23:Q23" ca="1" si="2">D20+D15+D22</f>
        <v>12947.142857142855</v>
      </c>
      <c r="E23" s="721">
        <f t="shared" ca="1" si="2"/>
        <v>118958.44358220258</v>
      </c>
      <c r="F23" s="721">
        <f t="shared" si="2"/>
        <v>5599.2713409777562</v>
      </c>
      <c r="G23" s="721">
        <f t="shared" ca="1" si="2"/>
        <v>39234.113179632412</v>
      </c>
      <c r="H23" s="721">
        <f t="shared" si="2"/>
        <v>80641.25098847787</v>
      </c>
      <c r="I23" s="721">
        <f t="shared" si="2"/>
        <v>16228.754521046909</v>
      </c>
      <c r="J23" s="721">
        <f t="shared" si="2"/>
        <v>0</v>
      </c>
      <c r="K23" s="721">
        <f t="shared" si="2"/>
        <v>108.77504097662529</v>
      </c>
      <c r="L23" s="721">
        <f t="shared" si="2"/>
        <v>0</v>
      </c>
      <c r="M23" s="721">
        <f t="shared" ca="1" si="2"/>
        <v>0</v>
      </c>
      <c r="N23" s="721">
        <f t="shared" si="2"/>
        <v>4376.9543957904752</v>
      </c>
      <c r="O23" s="721">
        <f t="shared" ca="1" si="2"/>
        <v>17412.837682539332</v>
      </c>
      <c r="P23" s="721">
        <f t="shared" si="2"/>
        <v>284.52666666666664</v>
      </c>
      <c r="Q23" s="722">
        <f t="shared" si="2"/>
        <v>991.4666666666667</v>
      </c>
      <c r="R23" s="723">
        <f ca="1">R20+R15+R22</f>
        <v>366515.92260565452</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4586.6829311819656</v>
      </c>
      <c r="D36" s="704">
        <f ca="1">tertiair!C20</f>
        <v>0</v>
      </c>
      <c r="E36" s="704">
        <f ca="1">tertiair!D20</f>
        <v>4639.7382972618689</v>
      </c>
      <c r="F36" s="704">
        <f>tertiair!E20</f>
        <v>56.399627211527253</v>
      </c>
      <c r="G36" s="704">
        <f ca="1">tertiair!F20</f>
        <v>1061.2068478217827</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10344.027703477144</v>
      </c>
    </row>
    <row r="37" spans="1:18">
      <c r="A37" s="873" t="s">
        <v>225</v>
      </c>
      <c r="B37" s="880"/>
      <c r="C37" s="704">
        <f ca="1">huishoudens!B12</f>
        <v>7635.7220848839552</v>
      </c>
      <c r="D37" s="704">
        <f ca="1">huishoudens!C12</f>
        <v>0</v>
      </c>
      <c r="E37" s="704">
        <f>huishoudens!D12</f>
        <v>18215.197424166472</v>
      </c>
      <c r="F37" s="704">
        <f>huishoudens!E12</f>
        <v>946.59783016427696</v>
      </c>
      <c r="G37" s="704">
        <f>huishoudens!F12</f>
        <v>8046.5530380749769</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34844.070377289681</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2243.048451891329</v>
      </c>
      <c r="D39" s="704">
        <f ca="1">industrie!C22</f>
        <v>0</v>
      </c>
      <c r="E39" s="704">
        <f>industrie!D22</f>
        <v>1172.4773685939467</v>
      </c>
      <c r="F39" s="704">
        <f>industrie!E22</f>
        <v>190.04526163728372</v>
      </c>
      <c r="G39" s="704">
        <f>industrie!F22</f>
        <v>835.74485774366133</v>
      </c>
      <c r="H39" s="704">
        <f>industrie!G22</f>
        <v>0</v>
      </c>
      <c r="I39" s="704">
        <f>industrie!H22</f>
        <v>0</v>
      </c>
      <c r="J39" s="704">
        <f>industrie!I22</f>
        <v>0</v>
      </c>
      <c r="K39" s="704">
        <f>industrie!J22</f>
        <v>7.7616226702764095</v>
      </c>
      <c r="L39" s="704">
        <f>industrie!K22</f>
        <v>0</v>
      </c>
      <c r="M39" s="704">
        <f>industrie!L22</f>
        <v>0</v>
      </c>
      <c r="N39" s="704">
        <f>industrie!M22</f>
        <v>0</v>
      </c>
      <c r="O39" s="704">
        <f>industrie!N22</f>
        <v>0</v>
      </c>
      <c r="P39" s="704">
        <f>industrie!O22</f>
        <v>0</v>
      </c>
      <c r="Q39" s="814">
        <f>industrie!P22</f>
        <v>0</v>
      </c>
      <c r="R39" s="906">
        <f ca="1">SUM(C39:Q39)</f>
        <v>4449.0775625364977</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14465.45346795725</v>
      </c>
      <c r="D41" s="749">
        <f t="shared" ref="D41:R41" ca="1" si="4">SUM(D35:D40)</f>
        <v>0</v>
      </c>
      <c r="E41" s="749">
        <f t="shared" ca="1" si="4"/>
        <v>24027.413090022288</v>
      </c>
      <c r="F41" s="749">
        <f t="shared" si="4"/>
        <v>1193.0427190130879</v>
      </c>
      <c r="G41" s="749">
        <f t="shared" ca="1" si="4"/>
        <v>9943.5047436404202</v>
      </c>
      <c r="H41" s="749">
        <f t="shared" si="4"/>
        <v>0</v>
      </c>
      <c r="I41" s="749">
        <f t="shared" si="4"/>
        <v>0</v>
      </c>
      <c r="J41" s="749">
        <f t="shared" si="4"/>
        <v>0</v>
      </c>
      <c r="K41" s="749">
        <f t="shared" si="4"/>
        <v>7.7616226702764095</v>
      </c>
      <c r="L41" s="749">
        <f t="shared" si="4"/>
        <v>0</v>
      </c>
      <c r="M41" s="749">
        <f t="shared" ca="1" si="4"/>
        <v>0</v>
      </c>
      <c r="N41" s="749">
        <f t="shared" si="4"/>
        <v>0</v>
      </c>
      <c r="O41" s="749">
        <f t="shared" ca="1" si="4"/>
        <v>0</v>
      </c>
      <c r="P41" s="749">
        <f t="shared" si="4"/>
        <v>0</v>
      </c>
      <c r="Q41" s="750">
        <f t="shared" si="4"/>
        <v>0</v>
      </c>
      <c r="R41" s="751">
        <f t="shared" ca="1" si="4"/>
        <v>49637.175643303322</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1293.6218217993928</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1293.6218217993928</v>
      </c>
    </row>
    <row r="45" spans="1:18" ht="15" thickBot="1">
      <c r="A45" s="876" t="s">
        <v>307</v>
      </c>
      <c r="B45" s="886"/>
      <c r="C45" s="713">
        <f ca="1">transport!B18</f>
        <v>1.2874251704844022</v>
      </c>
      <c r="D45" s="713">
        <f>transport!C18</f>
        <v>0</v>
      </c>
      <c r="E45" s="713">
        <f>transport!D18</f>
        <v>2.1925135826356641</v>
      </c>
      <c r="F45" s="713">
        <f>transport!E18</f>
        <v>76.339938763026808</v>
      </c>
      <c r="G45" s="713">
        <f>transport!F18</f>
        <v>0</v>
      </c>
      <c r="H45" s="713">
        <f>transport!G18</f>
        <v>20237.592192124201</v>
      </c>
      <c r="I45" s="713">
        <f>transport!H18</f>
        <v>4040.9598757406802</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24358.371945381026</v>
      </c>
    </row>
    <row r="46" spans="1:18" ht="15.75" thickBot="1">
      <c r="A46" s="874" t="s">
        <v>230</v>
      </c>
      <c r="B46" s="887"/>
      <c r="C46" s="749">
        <f t="shared" ref="C46:R46" ca="1" si="5">SUM(C43:C45)</f>
        <v>1.2874251704844022</v>
      </c>
      <c r="D46" s="749">
        <f t="shared" ca="1" si="5"/>
        <v>0</v>
      </c>
      <c r="E46" s="749">
        <f t="shared" si="5"/>
        <v>2.1925135826356641</v>
      </c>
      <c r="F46" s="749">
        <f t="shared" si="5"/>
        <v>76.339938763026808</v>
      </c>
      <c r="G46" s="749">
        <f t="shared" si="5"/>
        <v>0</v>
      </c>
      <c r="H46" s="749">
        <f t="shared" si="5"/>
        <v>21531.214013923593</v>
      </c>
      <c r="I46" s="749">
        <f t="shared" si="5"/>
        <v>4040.9598757406802</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25651.993767180418</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120.80931417469822</v>
      </c>
      <c r="D48" s="704">
        <f ca="1">+landbouw!C12</f>
        <v>3076.8504201680662</v>
      </c>
      <c r="E48" s="704">
        <f>+landbouw!D12</f>
        <v>0</v>
      </c>
      <c r="F48" s="704">
        <f>+landbouw!E12</f>
        <v>1.6519366258359722</v>
      </c>
      <c r="G48" s="704">
        <f>+landbouw!F12</f>
        <v>532.00347532143246</v>
      </c>
      <c r="H48" s="704">
        <f>+landbouw!G12</f>
        <v>0</v>
      </c>
      <c r="I48" s="704">
        <f>+landbouw!H12</f>
        <v>0</v>
      </c>
      <c r="J48" s="704">
        <f>+landbouw!I12</f>
        <v>0</v>
      </c>
      <c r="K48" s="704">
        <f>+landbouw!J12</f>
        <v>30.744741835448945</v>
      </c>
      <c r="L48" s="704">
        <f>+landbouw!K12</f>
        <v>0</v>
      </c>
      <c r="M48" s="704">
        <f>+landbouw!L12</f>
        <v>0</v>
      </c>
      <c r="N48" s="704">
        <f>+landbouw!M12</f>
        <v>0</v>
      </c>
      <c r="O48" s="704">
        <f>+landbouw!N12</f>
        <v>0</v>
      </c>
      <c r="P48" s="704">
        <f>+landbouw!O12</f>
        <v>0</v>
      </c>
      <c r="Q48" s="705">
        <f>+landbouw!P12</f>
        <v>0</v>
      </c>
      <c r="R48" s="747">
        <f ca="1">SUM(C48:Q48)</f>
        <v>3762.0598881254814</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14587.550207302433</v>
      </c>
      <c r="D53" s="759">
        <f t="shared" ref="D53:Q53" ca="1" si="6">D41+D46+D48</f>
        <v>3076.8504201680662</v>
      </c>
      <c r="E53" s="759">
        <f t="shared" ca="1" si="6"/>
        <v>24029.605603604923</v>
      </c>
      <c r="F53" s="759">
        <f t="shared" si="6"/>
        <v>1271.0345944019507</v>
      </c>
      <c r="G53" s="759">
        <f t="shared" ca="1" si="6"/>
        <v>10475.508218961853</v>
      </c>
      <c r="H53" s="759">
        <f t="shared" si="6"/>
        <v>21531.214013923593</v>
      </c>
      <c r="I53" s="759">
        <f t="shared" si="6"/>
        <v>4040.9598757406802</v>
      </c>
      <c r="J53" s="759">
        <f t="shared" si="6"/>
        <v>0</v>
      </c>
      <c r="K53" s="759">
        <f t="shared" si="6"/>
        <v>38.506364505725358</v>
      </c>
      <c r="L53" s="759">
        <f t="shared" si="6"/>
        <v>0</v>
      </c>
      <c r="M53" s="759">
        <f t="shared" ca="1" si="6"/>
        <v>0</v>
      </c>
      <c r="N53" s="759">
        <f t="shared" si="6"/>
        <v>0</v>
      </c>
      <c r="O53" s="759">
        <f t="shared" ca="1" si="6"/>
        <v>0</v>
      </c>
      <c r="P53" s="759">
        <f>P41+P46+P48</f>
        <v>0</v>
      </c>
      <c r="Q53" s="760">
        <f t="shared" si="6"/>
        <v>0</v>
      </c>
      <c r="R53" s="761">
        <f ca="1">R41+R46+R48</f>
        <v>79051.229298609222</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0.20919333340329016</v>
      </c>
      <c r="D55" s="824">
        <f t="shared" ca="1" si="7"/>
        <v>0.23764705882352938</v>
      </c>
      <c r="E55" s="824">
        <f t="shared" ca="1" si="7"/>
        <v>0.20200000000000001</v>
      </c>
      <c r="F55" s="824">
        <f t="shared" si="7"/>
        <v>0.22700000000000001</v>
      </c>
      <c r="G55" s="824">
        <f t="shared" ca="1" si="7"/>
        <v>0.26699999999999996</v>
      </c>
      <c r="H55" s="824">
        <f t="shared" si="7"/>
        <v>0.26700000000000002</v>
      </c>
      <c r="I55" s="824">
        <f t="shared" si="7"/>
        <v>0.249</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4408.0512347344829</v>
      </c>
      <c r="C66" s="781">
        <f>'lokale energieproductie'!B6</f>
        <v>4408.0512347344829</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9062.9999999999982</v>
      </c>
      <c r="C67" s="780">
        <f>B67*IFERROR(SUM(J67:L67)/SUM(D67:M67),0)</f>
        <v>0</v>
      </c>
      <c r="D67" s="812">
        <f>'lokale energieproductie'!C7</f>
        <v>10662.352941176468</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2153.7952941176468</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13471.051234734481</v>
      </c>
      <c r="C69" s="789">
        <f>SUM(C64:C68)</f>
        <v>4408.0512347344829</v>
      </c>
      <c r="D69" s="790">
        <f t="shared" ref="D69:M69" si="8">SUM(D67:D68)</f>
        <v>10662.352941176468</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2153.7952941176468</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12947.142857142855</v>
      </c>
      <c r="C78" s="803">
        <f>B78*IFERROR(SUM(I78:L78)/SUM(D78:M78),0)</f>
        <v>0</v>
      </c>
      <c r="D78" s="818">
        <f>'lokale energieproductie'!C16</f>
        <v>15231.932773109238</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3076.8504201680662</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12947.142857142855</v>
      </c>
      <c r="C81" s="789">
        <f>SUM(C78:C80)</f>
        <v>0</v>
      </c>
      <c r="D81" s="789">
        <f t="shared" ref="D81:P81" si="9">SUM(D78:D80)</f>
        <v>15231.932773109238</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3076.8504201680662</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36500.79073104851</v>
      </c>
      <c r="C4" s="463">
        <f>huishoudens!C8</f>
        <v>0</v>
      </c>
      <c r="D4" s="463">
        <f>huishoudens!D8</f>
        <v>90174.244674091431</v>
      </c>
      <c r="E4" s="463">
        <f>huishoudens!E8</f>
        <v>4170.0344941157573</v>
      </c>
      <c r="F4" s="463">
        <f>huishoudens!F8</f>
        <v>30136.902764325754</v>
      </c>
      <c r="G4" s="463">
        <f>huishoudens!G8</f>
        <v>0</v>
      </c>
      <c r="H4" s="463">
        <f>huishoudens!H8</f>
        <v>0</v>
      </c>
      <c r="I4" s="463">
        <f>huishoudens!I8</f>
        <v>0</v>
      </c>
      <c r="J4" s="463">
        <f>huishoudens!J8</f>
        <v>0</v>
      </c>
      <c r="K4" s="463">
        <f>huishoudens!K8</f>
        <v>0</v>
      </c>
      <c r="L4" s="463">
        <f>huishoudens!L8</f>
        <v>0</v>
      </c>
      <c r="M4" s="463">
        <f>huishoudens!M8</f>
        <v>0</v>
      </c>
      <c r="N4" s="463">
        <f>huishoudens!N8</f>
        <v>11830.496781782154</v>
      </c>
      <c r="O4" s="463">
        <f>huishoudens!O8</f>
        <v>284.52666666666664</v>
      </c>
      <c r="P4" s="464">
        <f>huishoudens!P8</f>
        <v>915.2</v>
      </c>
      <c r="Q4" s="465">
        <f>SUM(B4:P4)</f>
        <v>174012.19611203027</v>
      </c>
    </row>
    <row r="5" spans="1:17">
      <c r="A5" s="462" t="s">
        <v>156</v>
      </c>
      <c r="B5" s="463">
        <f ca="1">tertiair!B16</f>
        <v>20387.520312190263</v>
      </c>
      <c r="C5" s="463">
        <f ca="1">tertiair!C16</f>
        <v>0</v>
      </c>
      <c r="D5" s="463">
        <f ca="1">tertiair!D16</f>
        <v>22969.001471593408</v>
      </c>
      <c r="E5" s="463">
        <f>tertiair!E16</f>
        <v>248.45650753976764</v>
      </c>
      <c r="F5" s="463">
        <f ca="1">tertiair!F16</f>
        <v>3974.5574824785872</v>
      </c>
      <c r="G5" s="463">
        <f>tertiair!G16</f>
        <v>0</v>
      </c>
      <c r="H5" s="463">
        <f>tertiair!H16</f>
        <v>0</v>
      </c>
      <c r="I5" s="463">
        <f>tertiair!I16</f>
        <v>0</v>
      </c>
      <c r="J5" s="463">
        <f>tertiair!J16</f>
        <v>0</v>
      </c>
      <c r="K5" s="463">
        <f>tertiair!K16</f>
        <v>0</v>
      </c>
      <c r="L5" s="463">
        <f ca="1">tertiair!L16</f>
        <v>0</v>
      </c>
      <c r="M5" s="463">
        <f>tertiair!M16</f>
        <v>0</v>
      </c>
      <c r="N5" s="463">
        <f ca="1">tertiair!N16</f>
        <v>1927.5236517271089</v>
      </c>
      <c r="O5" s="463">
        <f>tertiair!O16</f>
        <v>0</v>
      </c>
      <c r="P5" s="464">
        <f>tertiair!P16</f>
        <v>76.266666666666666</v>
      </c>
      <c r="Q5" s="462">
        <f t="shared" ref="Q5:Q13" ca="1" si="0">SUM(B5:P5)</f>
        <v>49583.326092195806</v>
      </c>
    </row>
    <row r="6" spans="1:17">
      <c r="A6" s="462" t="s">
        <v>194</v>
      </c>
      <c r="B6" s="463">
        <f>'openbare verlichting'!B8</f>
        <v>1538.049</v>
      </c>
      <c r="C6" s="463"/>
      <c r="D6" s="463"/>
      <c r="E6" s="463"/>
      <c r="F6" s="463"/>
      <c r="G6" s="463"/>
      <c r="H6" s="463"/>
      <c r="I6" s="463"/>
      <c r="J6" s="463"/>
      <c r="K6" s="463"/>
      <c r="L6" s="463"/>
      <c r="M6" s="463"/>
      <c r="N6" s="463"/>
      <c r="O6" s="463"/>
      <c r="P6" s="464"/>
      <c r="Q6" s="462">
        <f t="shared" si="0"/>
        <v>1538.049</v>
      </c>
    </row>
    <row r="7" spans="1:17">
      <c r="A7" s="462" t="s">
        <v>112</v>
      </c>
      <c r="B7" s="463">
        <f>landbouw!B8</f>
        <v>577.50078460577811</v>
      </c>
      <c r="C7" s="463">
        <f>landbouw!C8</f>
        <v>12947.142857142855</v>
      </c>
      <c r="D7" s="463">
        <f>landbouw!D8</f>
        <v>0</v>
      </c>
      <c r="E7" s="463">
        <f>landbouw!E8</f>
        <v>7.2772538583082476</v>
      </c>
      <c r="F7" s="463">
        <f>landbouw!F8</f>
        <v>1992.5223794810204</v>
      </c>
      <c r="G7" s="463">
        <f>landbouw!G8</f>
        <v>0</v>
      </c>
      <c r="H7" s="463">
        <f>landbouw!H8</f>
        <v>0</v>
      </c>
      <c r="I7" s="463">
        <f>landbouw!I8</f>
        <v>0</v>
      </c>
      <c r="J7" s="463">
        <f>landbouw!J8</f>
        <v>86.849553207482899</v>
      </c>
      <c r="K7" s="463">
        <f>landbouw!K8</f>
        <v>0</v>
      </c>
      <c r="L7" s="463">
        <f>landbouw!L8</f>
        <v>0</v>
      </c>
      <c r="M7" s="463">
        <f>landbouw!M8</f>
        <v>0</v>
      </c>
      <c r="N7" s="463">
        <f>landbouw!N8</f>
        <v>0</v>
      </c>
      <c r="O7" s="463">
        <f>landbouw!O8</f>
        <v>0</v>
      </c>
      <c r="P7" s="464">
        <f>landbouw!P8</f>
        <v>0</v>
      </c>
      <c r="Q7" s="462">
        <f t="shared" si="0"/>
        <v>15611.292828295445</v>
      </c>
    </row>
    <row r="8" spans="1:17">
      <c r="A8" s="462" t="s">
        <v>657</v>
      </c>
      <c r="B8" s="463">
        <f>industrie!B18</f>
        <v>10722.370619560337</v>
      </c>
      <c r="C8" s="463">
        <f>industrie!C18</f>
        <v>0</v>
      </c>
      <c r="D8" s="463">
        <f>industrie!D18</f>
        <v>5804.3434088809236</v>
      </c>
      <c r="E8" s="463">
        <f>industrie!E18</f>
        <v>837.20379575895913</v>
      </c>
      <c r="F8" s="463">
        <f>industrie!F18</f>
        <v>3130.1305533470459</v>
      </c>
      <c r="G8" s="463">
        <f>industrie!G18</f>
        <v>0</v>
      </c>
      <c r="H8" s="463">
        <f>industrie!H18</f>
        <v>0</v>
      </c>
      <c r="I8" s="463">
        <f>industrie!I18</f>
        <v>0</v>
      </c>
      <c r="J8" s="463">
        <f>industrie!J18</f>
        <v>21.9254877691424</v>
      </c>
      <c r="K8" s="463">
        <f>industrie!K18</f>
        <v>0</v>
      </c>
      <c r="L8" s="463">
        <f>industrie!L18</f>
        <v>0</v>
      </c>
      <c r="M8" s="463">
        <f>industrie!M18</f>
        <v>0</v>
      </c>
      <c r="N8" s="463">
        <f>industrie!N18</f>
        <v>3654.8172490300672</v>
      </c>
      <c r="O8" s="463">
        <f>industrie!O18</f>
        <v>0</v>
      </c>
      <c r="P8" s="464">
        <f>industrie!P18</f>
        <v>0</v>
      </c>
      <c r="Q8" s="462">
        <f t="shared" si="0"/>
        <v>24170.791114346477</v>
      </c>
    </row>
    <row r="9" spans="1:17" s="468" customFormat="1">
      <c r="A9" s="466" t="s">
        <v>574</v>
      </c>
      <c r="B9" s="467">
        <f>transport!B14</f>
        <v>6.1542361295159402</v>
      </c>
      <c r="C9" s="467"/>
      <c r="D9" s="467">
        <f>transport!D14</f>
        <v>10.854027636810217</v>
      </c>
      <c r="E9" s="467">
        <f>transport!E14</f>
        <v>336.29928970496388</v>
      </c>
      <c r="F9" s="467"/>
      <c r="G9" s="467">
        <f>transport!G14</f>
        <v>75796.225438667418</v>
      </c>
      <c r="H9" s="467">
        <f>transport!H14</f>
        <v>16228.754521046909</v>
      </c>
      <c r="I9" s="467"/>
      <c r="J9" s="467"/>
      <c r="K9" s="467"/>
      <c r="L9" s="467"/>
      <c r="M9" s="467">
        <f>transport!M14</f>
        <v>4161.4842590630578</v>
      </c>
      <c r="N9" s="467"/>
      <c r="O9" s="467"/>
      <c r="P9" s="467"/>
      <c r="Q9" s="466">
        <f>SUM(B9:P9)</f>
        <v>96539.77177224867</v>
      </c>
    </row>
    <row r="10" spans="1:17">
      <c r="A10" s="462" t="s">
        <v>564</v>
      </c>
      <c r="B10" s="463">
        <f>transport!B54</f>
        <v>0</v>
      </c>
      <c r="C10" s="463"/>
      <c r="D10" s="463">
        <f>transport!D54</f>
        <v>0</v>
      </c>
      <c r="E10" s="463"/>
      <c r="F10" s="463"/>
      <c r="G10" s="463">
        <f>transport!G54</f>
        <v>4845.0255498104598</v>
      </c>
      <c r="H10" s="463"/>
      <c r="I10" s="463"/>
      <c r="J10" s="463"/>
      <c r="K10" s="463"/>
      <c r="L10" s="463"/>
      <c r="M10" s="463">
        <f>transport!M54</f>
        <v>215.47013672741713</v>
      </c>
      <c r="N10" s="463"/>
      <c r="O10" s="463"/>
      <c r="P10" s="464"/>
      <c r="Q10" s="462">
        <f t="shared" si="0"/>
        <v>5060.4956865378772</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69732.385683534405</v>
      </c>
      <c r="C14" s="473">
        <f t="shared" ref="C14:Q14" ca="1" si="1">SUM(C4:C13)</f>
        <v>12947.142857142855</v>
      </c>
      <c r="D14" s="473">
        <f t="shared" ca="1" si="1"/>
        <v>118958.44358220258</v>
      </c>
      <c r="E14" s="473">
        <f t="shared" si="1"/>
        <v>5599.2713409777562</v>
      </c>
      <c r="F14" s="473">
        <f t="shared" ca="1" si="1"/>
        <v>39234.113179632412</v>
      </c>
      <c r="G14" s="473">
        <f t="shared" si="1"/>
        <v>80641.25098847787</v>
      </c>
      <c r="H14" s="473">
        <f t="shared" si="1"/>
        <v>16228.754521046909</v>
      </c>
      <c r="I14" s="473">
        <f t="shared" si="1"/>
        <v>0</v>
      </c>
      <c r="J14" s="473">
        <f t="shared" si="1"/>
        <v>108.77504097662529</v>
      </c>
      <c r="K14" s="473">
        <f t="shared" si="1"/>
        <v>0</v>
      </c>
      <c r="L14" s="473">
        <f t="shared" ca="1" si="1"/>
        <v>0</v>
      </c>
      <c r="M14" s="473">
        <f t="shared" si="1"/>
        <v>4376.9543957904752</v>
      </c>
      <c r="N14" s="473">
        <f t="shared" ca="1" si="1"/>
        <v>17412.837682539332</v>
      </c>
      <c r="O14" s="473">
        <f t="shared" si="1"/>
        <v>284.52666666666664</v>
      </c>
      <c r="P14" s="474">
        <f t="shared" si="1"/>
        <v>991.4666666666667</v>
      </c>
      <c r="Q14" s="474">
        <f t="shared" ca="1" si="1"/>
        <v>366515.92260565457</v>
      </c>
    </row>
    <row r="16" spans="1:17">
      <c r="A16" s="476" t="s">
        <v>569</v>
      </c>
      <c r="B16" s="829">
        <f ca="1">huishoudens!B10</f>
        <v>0.20919333340329019</v>
      </c>
      <c r="C16" s="829">
        <f ca="1">huishoudens!C10</f>
        <v>0.23764705882352938</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7635.7220848839552</v>
      </c>
      <c r="C21" s="463">
        <f t="shared" ref="C21:C28" ca="1" si="3">C4*$C$16</f>
        <v>0</v>
      </c>
      <c r="D21" s="463">
        <f t="shared" ref="D21:D30" si="4">D4*$D$16</f>
        <v>18215.197424166472</v>
      </c>
      <c r="E21" s="463">
        <f t="shared" ref="E21:E30" si="5">E4*$E$16</f>
        <v>946.59783016427696</v>
      </c>
      <c r="F21" s="463">
        <f t="shared" ref="F21:F28" si="6">F4*$F$16</f>
        <v>8046.5530380749769</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34844.070377289681</v>
      </c>
    </row>
    <row r="22" spans="1:17">
      <c r="A22" s="462" t="s">
        <v>156</v>
      </c>
      <c r="B22" s="463">
        <f t="shared" ca="1" si="2"/>
        <v>4264.9333339343684</v>
      </c>
      <c r="C22" s="463">
        <f t="shared" ca="1" si="3"/>
        <v>0</v>
      </c>
      <c r="D22" s="463">
        <f t="shared" ca="1" si="4"/>
        <v>4639.7382972618689</v>
      </c>
      <c r="E22" s="463">
        <f t="shared" si="5"/>
        <v>56.399627211527253</v>
      </c>
      <c r="F22" s="463">
        <f t="shared" ca="1" si="6"/>
        <v>1061.2068478217827</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10022.278106229547</v>
      </c>
    </row>
    <row r="23" spans="1:17">
      <c r="A23" s="462" t="s">
        <v>194</v>
      </c>
      <c r="B23" s="463">
        <f t="shared" ca="1" si="2"/>
        <v>321.74959724759708</v>
      </c>
      <c r="C23" s="463"/>
      <c r="D23" s="463"/>
      <c r="E23" s="463"/>
      <c r="F23" s="463"/>
      <c r="G23" s="463"/>
      <c r="H23" s="463"/>
      <c r="I23" s="463"/>
      <c r="J23" s="463"/>
      <c r="K23" s="463"/>
      <c r="L23" s="463"/>
      <c r="M23" s="463"/>
      <c r="N23" s="463"/>
      <c r="O23" s="463"/>
      <c r="P23" s="464"/>
      <c r="Q23" s="462">
        <f t="shared" ca="1" si="17"/>
        <v>321.74959724759708</v>
      </c>
    </row>
    <row r="24" spans="1:17">
      <c r="A24" s="462" t="s">
        <v>112</v>
      </c>
      <c r="B24" s="463">
        <f t="shared" ca="1" si="2"/>
        <v>120.80931417469822</v>
      </c>
      <c r="C24" s="463">
        <f t="shared" ca="1" si="3"/>
        <v>3076.8504201680662</v>
      </c>
      <c r="D24" s="463">
        <f t="shared" si="4"/>
        <v>0</v>
      </c>
      <c r="E24" s="463">
        <f t="shared" si="5"/>
        <v>1.6519366258359722</v>
      </c>
      <c r="F24" s="463">
        <f t="shared" si="6"/>
        <v>532.00347532143246</v>
      </c>
      <c r="G24" s="463">
        <f t="shared" si="7"/>
        <v>0</v>
      </c>
      <c r="H24" s="463">
        <f t="shared" si="8"/>
        <v>0</v>
      </c>
      <c r="I24" s="463">
        <f t="shared" si="9"/>
        <v>0</v>
      </c>
      <c r="J24" s="463">
        <f t="shared" si="10"/>
        <v>30.744741835448945</v>
      </c>
      <c r="K24" s="463">
        <f t="shared" si="11"/>
        <v>0</v>
      </c>
      <c r="L24" s="463">
        <f t="shared" si="12"/>
        <v>0</v>
      </c>
      <c r="M24" s="463">
        <f t="shared" si="13"/>
        <v>0</v>
      </c>
      <c r="N24" s="463">
        <f t="shared" si="14"/>
        <v>0</v>
      </c>
      <c r="O24" s="463">
        <f t="shared" si="15"/>
        <v>0</v>
      </c>
      <c r="P24" s="464">
        <f t="shared" si="16"/>
        <v>0</v>
      </c>
      <c r="Q24" s="462">
        <f t="shared" ca="1" si="17"/>
        <v>3762.0598881254814</v>
      </c>
    </row>
    <row r="25" spans="1:17">
      <c r="A25" s="462" t="s">
        <v>657</v>
      </c>
      <c r="B25" s="463">
        <f t="shared" ca="1" si="2"/>
        <v>2243.048451891329</v>
      </c>
      <c r="C25" s="463">
        <f t="shared" ca="1" si="3"/>
        <v>0</v>
      </c>
      <c r="D25" s="463">
        <f t="shared" si="4"/>
        <v>1172.4773685939467</v>
      </c>
      <c r="E25" s="463">
        <f t="shared" si="5"/>
        <v>190.04526163728372</v>
      </c>
      <c r="F25" s="463">
        <f t="shared" si="6"/>
        <v>835.74485774366133</v>
      </c>
      <c r="G25" s="463">
        <f t="shared" si="7"/>
        <v>0</v>
      </c>
      <c r="H25" s="463">
        <f t="shared" si="8"/>
        <v>0</v>
      </c>
      <c r="I25" s="463">
        <f t="shared" si="9"/>
        <v>0</v>
      </c>
      <c r="J25" s="463">
        <f t="shared" si="10"/>
        <v>7.7616226702764095</v>
      </c>
      <c r="K25" s="463">
        <f t="shared" si="11"/>
        <v>0</v>
      </c>
      <c r="L25" s="463">
        <f t="shared" si="12"/>
        <v>0</v>
      </c>
      <c r="M25" s="463">
        <f t="shared" si="13"/>
        <v>0</v>
      </c>
      <c r="N25" s="463">
        <f t="shared" si="14"/>
        <v>0</v>
      </c>
      <c r="O25" s="463">
        <f t="shared" si="15"/>
        <v>0</v>
      </c>
      <c r="P25" s="464">
        <f t="shared" si="16"/>
        <v>0</v>
      </c>
      <c r="Q25" s="462">
        <f t="shared" ca="1" si="17"/>
        <v>4449.0775625364977</v>
      </c>
    </row>
    <row r="26" spans="1:17" s="468" customFormat="1">
      <c r="A26" s="466" t="s">
        <v>574</v>
      </c>
      <c r="B26" s="823">
        <f t="shared" ca="1" si="2"/>
        <v>1.2874251704844022</v>
      </c>
      <c r="C26" s="467"/>
      <c r="D26" s="467">
        <f t="shared" si="4"/>
        <v>2.1925135826356641</v>
      </c>
      <c r="E26" s="467">
        <f t="shared" si="5"/>
        <v>76.339938763026808</v>
      </c>
      <c r="F26" s="467"/>
      <c r="G26" s="467">
        <f t="shared" si="7"/>
        <v>20237.592192124201</v>
      </c>
      <c r="H26" s="467">
        <f t="shared" si="8"/>
        <v>4040.9598757406802</v>
      </c>
      <c r="I26" s="467"/>
      <c r="J26" s="467"/>
      <c r="K26" s="467"/>
      <c r="L26" s="467"/>
      <c r="M26" s="467">
        <f t="shared" si="13"/>
        <v>0</v>
      </c>
      <c r="N26" s="467"/>
      <c r="O26" s="467"/>
      <c r="P26" s="478"/>
      <c r="Q26" s="466">
        <f t="shared" ca="1" si="17"/>
        <v>24358.371945381026</v>
      </c>
    </row>
    <row r="27" spans="1:17">
      <c r="A27" s="462" t="s">
        <v>564</v>
      </c>
      <c r="B27" s="463">
        <f t="shared" ca="1" si="2"/>
        <v>0</v>
      </c>
      <c r="C27" s="463"/>
      <c r="D27" s="467">
        <f t="shared" si="4"/>
        <v>0</v>
      </c>
      <c r="E27" s="463"/>
      <c r="F27" s="463"/>
      <c r="G27" s="463">
        <f t="shared" si="7"/>
        <v>1293.6218217993928</v>
      </c>
      <c r="H27" s="463"/>
      <c r="I27" s="463"/>
      <c r="J27" s="463"/>
      <c r="K27" s="463"/>
      <c r="L27" s="463"/>
      <c r="M27" s="463">
        <f t="shared" si="13"/>
        <v>0</v>
      </c>
      <c r="N27" s="463"/>
      <c r="O27" s="463"/>
      <c r="P27" s="464"/>
      <c r="Q27" s="462">
        <f t="shared" ca="1" si="17"/>
        <v>1293.6218217993928</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14587.550207302433</v>
      </c>
      <c r="C31" s="473">
        <f t="shared" ca="1" si="18"/>
        <v>3076.8504201680662</v>
      </c>
      <c r="D31" s="473">
        <f t="shared" ca="1" si="18"/>
        <v>24029.605603604923</v>
      </c>
      <c r="E31" s="473">
        <f t="shared" si="18"/>
        <v>1271.0345944019507</v>
      </c>
      <c r="F31" s="473">
        <f t="shared" ca="1" si="18"/>
        <v>10475.508218961853</v>
      </c>
      <c r="G31" s="473">
        <f t="shared" si="18"/>
        <v>21531.214013923593</v>
      </c>
      <c r="H31" s="473">
        <f t="shared" si="18"/>
        <v>4040.9598757406802</v>
      </c>
      <c r="I31" s="473">
        <f t="shared" si="18"/>
        <v>0</v>
      </c>
      <c r="J31" s="473">
        <f t="shared" si="18"/>
        <v>38.506364505725358</v>
      </c>
      <c r="K31" s="473">
        <f t="shared" si="18"/>
        <v>0</v>
      </c>
      <c r="L31" s="473">
        <f t="shared" ca="1" si="18"/>
        <v>0</v>
      </c>
      <c r="M31" s="473">
        <f t="shared" si="18"/>
        <v>0</v>
      </c>
      <c r="N31" s="473">
        <f t="shared" ca="1" si="18"/>
        <v>0</v>
      </c>
      <c r="O31" s="473">
        <f t="shared" si="18"/>
        <v>0</v>
      </c>
      <c r="P31" s="474">
        <f t="shared" si="18"/>
        <v>0</v>
      </c>
      <c r="Q31" s="474">
        <f t="shared" ca="1" si="18"/>
        <v>79051.229298609222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0.20919333340329019</v>
      </c>
      <c r="C17" s="513">
        <f ca="1">'EF ele_warmte'!B22</f>
        <v>0.23764705882352938</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0.20919333340329019</v>
      </c>
      <c r="C17" s="513">
        <f ca="1">'EF ele_warmte'!B22</f>
        <v>0.23764705882352938</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0.20919333340329019</v>
      </c>
      <c r="C29" s="514">
        <f ca="1">'EF ele_warmte'!B22</f>
        <v>0.23764705882352938</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2019-01-02T18:03:19Z</dcterms:modified>
</cp:coreProperties>
</file>