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<sst xmlns="http://schemas.openxmlformats.org/spreadsheetml/2006/main" count="2151" uniqueCount="878">
  <si>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</si>
  <si>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</si>
  <si>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</si>
  <si>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</si>
  <si>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</si>
  <si>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</si>
  <si>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</si>
  <si>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</si>
  <si>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</si>
  <si>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</si>
  <si>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</si>
  <si>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</si>
  <si>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</si>
  <si>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</si>
  <si>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</si>
  <si>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</si>
  <si>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</si>
  <si>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</si>
  <si>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</si>
  <si>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</si>
  <si>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</si>
  <si>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</si>
  <si>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</si>
  <si>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</si>
  <si>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</si>
  <si>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</si>
  <si>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</si>
  <si>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</si>
  <si>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</si>
  <si>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</si>
  <si>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</si>
  <si>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</si>
  <si>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</si>
  <si>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</si>
  <si>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</si>
  <si>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</si>
  <si>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</si>
  <si>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</si>
  <si>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</si>
  <si>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</si>
  <si>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</si>
  <si>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</si>
  <si>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</si>
  <si>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</si>
  <si>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</si>
  <si>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</si>
  <si>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</si>
  <si>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</si>
  <si>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</si>
  <si>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</si>
  <si>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</si>
  <si>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</si>
  <si>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</si>
  <si>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</si>
  <si>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</si>
  <si>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</si>
  <si>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</si>
  <si>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</si>
  <si>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</si>
  <si>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</si>
  <si>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</si>
  <si>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</si>
  <si>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</si>
  <si>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</si>
  <si>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</si>
  <si>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</si>
  <si>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</si>
  <si>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</si>
  <si>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</si>
  <si>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</si>
  <si>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</si>
  <si>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</si>
  <si>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</si>
  <si>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</si>
  <si>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</si>
  <si>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</si>
  <si>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</si>
  <si>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</si>
  <si>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</si>
  <si>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</si>
  <si>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</si>
  <si>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</si>
  <si>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</si>
  <si>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</si>
  <si>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</si>
  <si>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</si>
  <si>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</si>
  <si>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</si>
  <si>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</si>
  <si>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</si>
  <si>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</si>
  <si>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</si>
  <si>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</si>
  <si>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</si>
  <si>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</si>
  <si>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</si>
  <si>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</si>
  <si>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</si>
  <si>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</si>
  <si>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</si>
  <si>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</si>
  <si>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</si>
  <si>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</si>
  <si>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</si>
  <si>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</si>
  <si>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</si>
  <si>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</si>
  <si>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</si>
  <si>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</si>
  <si>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</si>
  <si>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</si>
  <si>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</si>
  <si>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</si>
  <si>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</si>
  <si>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</si>
  <si>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</si>
  <si>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</si>
  <si>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</si>
  <si>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</si>
  <si>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</si>
  <si>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</si>
  <si>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</si>
  <si>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</si>
  <si>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</si>
  <si>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</si>
  <si>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</si>
  <si>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</si>
  <si>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</si>
  <si>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</si>
  <si>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</si>
  <si>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</si>
  <si>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</si>
  <si>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</si>
  <si>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</si>
  <si>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</si>
  <si>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</si>
  <si>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</si>
  <si>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</si>
  <si>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</si>
  <si>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</si>
  <si>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</si>
  <si>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</si>
  <si>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</si>
  <si>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</si>
  <si>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</si>
  <si>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</si>
  <si>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</si>
  <si>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</si>
  <si>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</si>
  <si>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</si>
  <si>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</si>
  <si>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</si>
  <si>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</si>
  <si>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</si>
  <si>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</si>
  <si>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</si>
  <si>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</si>
  <si>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</si>
  <si>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</si>
  <si>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</si>
  <si>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</si>
  <si>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</si>
  <si>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</si>
  <si>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</si>
  <si>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</si>
  <si>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</si>
  <si>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</si>
  <si>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</si>
  <si>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</si>
  <si>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</si>
  <si>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</si>
  <si>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</si>
  <si>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</si>
  <si>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</si>
  <si>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</si>
  <si>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</si>
  <si>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</si>
  <si>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</si>
  <si>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</si>
  <si>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</si>
  <si>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</si>
  <si>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</si>
  <si>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</si>
  <si>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</si>
  <si>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</si>
  <si>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</si>
  <si>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</si>
  <si>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</si>
  <si>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</si>
  <si>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</si>
  <si>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</si>
  <si>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</si>
  <si>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</si>
  <si>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</si>
  <si>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</si>
  <si>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</si>
  <si>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</si>
  <si>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</si>
  <si>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</si>
  <si>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</si>
  <si>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</si>
  <si>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</si>
  <si>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</si>
  <si>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</si>
  <si>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</si>
  <si>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</si>
  <si>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</si>
  <si>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</si>
  <si>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</si>
  <si>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</si>
  <si>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</si>
  <si>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</si>
  <si>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</si>
  <si>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</si>
  <si>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</si>
  <si>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</si>
  <si>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</si>
  <si>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</si>
  <si>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</si>
  <si>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</si>
  <si>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</si>
  <si>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</si>
  <si>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</si>
  <si>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</si>
  <si>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</si>
  <si>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</si>
  <si>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</si>
  <si>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</si>
  <si>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</si>
  <si>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</si>
  <si>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</si>
  <si>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</si>
  <si>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</si>
  <si>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</si>
  <si>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</si>
  <si>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</si>
  <si>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</si>
  <si>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</si>
  <si>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</si>
  <si>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</si>
  <si>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</si>
  <si>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</si>
  <si>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</si>
  <si>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</si>
  <si>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</si>
  <si>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</si>
  <si>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</si>
  <si>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</si>
  <si>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</si>
  <si>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</si>
  <si>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</si>
  <si>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</si>
  <si>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</si>
  <si>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</si>
  <si>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</si>
  <si>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</si>
  <si>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</si>
  <si>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</si>
  <si>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</si>
  <si>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</si>
  <si>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</si>
  <si>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</si>
  <si>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</si>
  <si>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</si>
  <si>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</si>
  <si>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</si>
  <si>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</si>
  <si>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</si>
  <si>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</si>
  <si>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</si>
  <si>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</si>
  <si>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</si>
  <si>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</si>
  <si>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</si>
  <si>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</si>
  <si>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</si>
  <si>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</si>
  <si>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</si>
  <si>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</si>
  <si>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</si>
  <si>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</si>
  <si>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</si>
  <si>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</si>
  <si>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</si>
  <si>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</si>
  <si>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</si>
  <si>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</si>
  <si>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</si>
  <si>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</si>
  <si>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</si>
  <si>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</si>
  <si>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</si>
  <si>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</si>
  <si>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</si>
  <si>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</si>
  <si>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</si>
  <si>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</si>
  <si>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</si>
  <si>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</si>
  <si>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</si>
  <si>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</si>
  <si>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</si>
  <si>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</si>
  <si>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</si>
  <si>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</si>
  <si>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</si>
  <si>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</si>
  <si>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</si>
  <si>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</si>
  <si>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</si>
  <si>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</si>
  <si>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</si>
  <si>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</si>
  <si>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</si>
  <si>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</si>
  <si>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</si>
  <si>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</si>
  <si>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</si>
  <si>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</si>
  <si>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</si>
  <si>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</si>
  <si>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</si>
  <si>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</si>
  <si>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</si>
  <si>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</si>
  <si>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</si>
  <si>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</si>
  <si>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</si>
  <si>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</si>
  <si>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</si>
  <si>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</si>
  <si>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</si>
  <si>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</si>
  <si>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</si>
  <si>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</si>
  <si>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</si>
  <si>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</si>
  <si>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</si>
  <si>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</si>
  <si>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</si>
  <si>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</si>
  <si>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</si>
  <si>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</si>
  <si>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</si>
  <si>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</si>
  <si>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</si>
  <si>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</si>
  <si>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</si>
  <si>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</si>
  <si>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</si>
  <si>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</si>
  <si>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</si>
  <si>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</si>
  <si>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</si>
  <si>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</si>
  <si>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</si>
  <si>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</si>
  <si>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</si>
  <si>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</si>
  <si>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</si>
  <si>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</si>
  <si>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</si>
  <si>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</si>
  <si>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</si>
  <si>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</si>
  <si>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</si>
  <si>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</si>
  <si>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</si>
  <si>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</si>
  <si>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</si>
  <si>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</si>
  <si>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</si>
  <si>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</si>
  <si>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</si>
  <si>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</si>
  <si>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</si>
  <si>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</si>
  <si>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</si>
  <si>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</si>
  <si>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</si>
  <si>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</si>
  <si>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</si>
  <si>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</si>
  <si>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</si>
  <si>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</si>
  <si>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</si>
  <si>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</si>
  <si>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</si>
  <si>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</si>
  <si>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</si>
  <si>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</si>
  <si>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</si>
  <si>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</si>
  <si>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</si>
  <si>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</si>
  <si>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</si>
  <si>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</si>
  <si>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</si>
  <si>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</si>
  <si>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</si>
  <si>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</si>
  <si>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</si>
  <si>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</si>
  <si>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</si>
  <si>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</si>
  <si>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</si>
  <si>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</si>
  <si>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</si>
  <si>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</si>
  <si>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</si>
  <si>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</si>
  <si>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</si>
  <si>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</si>
  <si>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</si>
  <si>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</si>
  <si>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</si>
  <si>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</si>
  <si>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</si>
  <si>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</si>
  <si>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</si>
  <si>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</si>
  <si>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</si>
  <si>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</si>
  <si>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</si>
  <si>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</si>
  <si>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</si>
  <si>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</si>
  <si>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</si>
  <si>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</si>
  <si>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</si>
  <si>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</si>
  <si>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</si>
  <si>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</si>
  <si>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</si>
  <si>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</si>
  <si>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</si>
  <si>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</si>
  <si>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</si>
  <si>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</si>
  <si>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</si>
  <si>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</si>
  <si>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</si>
  <si>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</si>
  <si>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</si>
  <si>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</si>
  <si>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</si>
  <si>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</si>
  <si>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</si>
  <si>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</si>
  <si>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</si>
  <si>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</si>
  <si>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</si>
  <si>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</si>
  <si>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</si>
  <si>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</si>
  <si>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</si>
  <si>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</si>
  <si>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</si>
  <si>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</si>
  <si>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</si>
  <si>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</si>
  <si>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</si>
  <si>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</si>
  <si>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</si>
  <si>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</si>
  <si>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</si>
  <si>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</si>
  <si>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</si>
  <si>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</si>
  <si>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</si>
  <si>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</si>
  <si>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</si>
  <si>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</si>
  <si>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</si>
  <si>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</si>
  <si>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</si>
  <si>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</si>
  <si>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</si>
  <si>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</si>
  <si>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</si>
  <si>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</si>
  <si>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</si>
  <si>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</si>
  <si>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</si>
  <si>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</si>
  <si>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</si>
  <si>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</si>
  <si>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</si>
  <si>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</si>
  <si>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</si>
  <si>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</si>
  <si>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</si>
  <si>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</si>
  <si>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</si>
  <si>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</si>
  <si>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</si>
  <si>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</si>
  <si>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</si>
  <si>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</si>
  <si>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</si>
  <si>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</si>
  <si>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</si>
  <si>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</si>
  <si>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</si>
  <si>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</si>
  <si>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</si>
  <si>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</si>
  <si>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</si>
  <si>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</si>
  <si>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</si>
  <si>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</si>
  <si>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</si>
  <si>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</si>
  <si>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</si>
  <si>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</si>
  <si>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</si>
  <si>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</si>
  <si>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</si>
  <si>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</si>
  <si>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</si>
  <si>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</si>
  <si>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</si>
  <si>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</si>
  <si>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</si>
  <si>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</si>
  <si>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</si>
  <si>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</si>
  <si>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</si>
  <si>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</si>
  <si>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</si>
  <si>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</si>
  <si>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</si>
  <si>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</si>
  <si>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</si>
  <si>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</si>
  <si>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</si>
  <si>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</si>
  <si>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</si>
  <si>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</si>
  <si>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</si>
  <si>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</si>
  <si>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</si>
  <si>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</si>
  <si>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</si>
  <si>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</si>
  <si>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</si>
  <si>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</si>
  <si>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</si>
  <si>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</si>
  <si>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</si>
  <si>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</si>
  <si>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</si>
  <si>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</si>
  <si>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</si>
  <si>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</si>
  <si>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</si>
  <si>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</si>
  <si>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</si>
  <si>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</si>
  <si>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</si>
  <si>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</si>
  <si>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</si>
  <si>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</si>
  <si>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</si>
  <si>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</si>
  <si>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</si>
  <si>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</si>
  <si>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</si>
  <si>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</si>
  <si>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</si>
  <si>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</si>
  <si>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</si>
  <si>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</si>
  <si>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</si>
  <si>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</si>
  <si>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</si>
  <si>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</si>
  <si>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</si>
  <si>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</si>
  <si>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</si>
  <si>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</si>
  <si>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</si>
  <si>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</si>
  <si>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</si>
  <si>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</si>
  <si>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</si>
  <si>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</si>
  <si>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</si>
  <si>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</si>
  <si>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</si>
  <si>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</si>
  <si>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</si>
  <si>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</si>
  <si>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</si>
  <si>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</si>
  <si>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</si>
  <si>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</si>
  <si>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</si>
  <si>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</si>
  <si>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</si>
  <si>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</si>
  <si>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</si>
  <si>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</si>
  <si>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</si>
  <si>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</si>
  <si>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</si>
  <si>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</si>
  <si>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</si>
  <si>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</si>
  <si>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</si>
  <si>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</si>
  <si>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</si>
  <si>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</si>
  <si>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</si>
  <si>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</si>
  <si>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</si>
  <si>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</si>
  <si>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</si>
  <si>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</si>
  <si>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</si>
  <si>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</si>
  <si>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</si>
  <si>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</si>
  <si>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</si>
  <si>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</si>
  <si>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</si>
  <si>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</si>
  <si>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</si>
  <si>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</si>
  <si>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</si>
  <si>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</si>
  <si>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</si>
  <si>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</si>
  <si>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</si>
  <si>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</si>
  <si>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</si>
  <si>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</si>
  <si>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</si>
  <si>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</si>
  <si>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</si>
  <si>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</si>
  <si>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</si>
  <si>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</si>
  <si>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</si>
  <si>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</si>
  <si>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</si>
  <si>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</si>
  <si>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</si>
  <si>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</si>
  <si>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</si>
  <si>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</si>
  <si>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</si>
  <si>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</si>
  <si>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</si>
  <si>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</si>
  <si>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</si>
  <si>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</si>
  <si>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</si>
  <si>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</si>
  <si>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</si>
  <si>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</si>
  <si>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</si>
  <si>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</si>
  <si>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</si>
  <si>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</si>
  <si>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</si>
  <si>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</si>
  <si>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</si>
  <si>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</si>
  <si>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</si>
  <si>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</si>
  <si>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</si>
  <si>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</si>
  <si>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</si>
  <si>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</si>
  <si>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</si>
  <si>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</si>
  <si>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</si>
  <si>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</si>
  <si>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</si>
  <si>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</si>
  <si>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</si>
  <si>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</si>
  <si>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</si>
  <si>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</si>
  <si>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</si>
  <si>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</si>
  <si>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</si>
  <si>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</si>
  <si>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</si>
  <si>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</si>
  <si>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</si>
  <si>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</si>
  <si>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</si>
  <si>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</si>
  <si>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</si>
  <si>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</si>
  <si>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</si>
  <si>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</si>
  <si>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</si>
  <si>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</si>
  <si>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</si>
  <si>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</si>
  <si>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</si>
  <si>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</si>
  <si>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</si>
  <si>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</si>
  <si>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</si>
  <si>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</si>
  <si>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</si>
  <si>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</si>
  <si>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</si>
  <si>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</si>
  <si>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</si>
  <si>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</si>
  <si>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</si>
  <si>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</si>
  <si>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</si>
  <si>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</si>
  <si>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</si>
  <si>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</si>
  <si>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</si>
  <si>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</si>
  <si>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</si>
  <si>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</si>
  <si>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</si>
  <si>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</si>
  <si>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</si>
  <si>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</si>
  <si>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</si>
  <si>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</si>
  <si>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</si>
  <si>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</si>
  <si>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</si>
  <si>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</si>
  <si>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</si>
  <si>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</si>
  <si>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</si>
  <si>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</si>
  <si>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</si>
  <si>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</si>
  <si>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</si>
  <si>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</si>
  <si>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</si>
  <si>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</si>
  <si>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</si>
  <si>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</si>
  <si>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</si>
  <si>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</si>
  <si>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</si>
  <si>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</si>
  <si>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</si>
  <si>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</si>
  <si>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</si>
  <si>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</si>
  <si>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</si>
  <si>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</si>
  <si>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</si>
  <si>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</si>
  <si>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</si>
  <si>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</si>
  <si>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</si>
  <si>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</si>
  <si>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</si>
  <si>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</si>
  <si>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</si>
  <si>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</si>
  <si>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</si>
  <si>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</si>
  <si>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</si>
  <si>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</si>
  <si>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</si>
  <si>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</si>
  <si>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</si>
  <si>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</si>
  <si>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</si>
  <si>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</si>
  <si>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</si>
  <si>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</si>
  <si>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</si>
  <si>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</si>
  <si>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</si>
  <si>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</si>
  <si>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</si>
  <si>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</si>
  <si>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</si>
  <si>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</si>
  <si>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</si>
  <si>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</si>
  <si>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</si>
  <si>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</si>
  <si>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</si>
  <si>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</si>
  <si>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</si>
  <si>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</si>
  <si>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</si>
  <si>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</si>
  <si>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</si>
  <si>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</si>
  <si>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</si>
  <si>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</si>
  <si>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</si>
  <si>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</si>
  <si>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</si>
  <si>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</si>
  <si>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</si>
  <si>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</si>
  <si>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</si>
  <si>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</si>
  <si>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</si>
  <si>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</si>
  <si>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</si>
  <si>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</si>
  <si>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</si>
  <si>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</si>
  <si>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</si>
  <si>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</si>
  <si>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</si>
  <si>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</si>
  <si>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</si>
  <si>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</si>
  <si>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</si>
  <si>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</si>
  <si>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</si>
  <si>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</si>
  <si>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</si>
  <si>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</si>
  <si>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</si>
  <si>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</si>
  <si>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</si>
  <si>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</si>
  <si>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</si>
  <si>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</si>
  <si>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</si>
  <si>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</si>
  <si>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</si>
  <si>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</si>
  <si>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</si>
  <si>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</si>
  <si>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</si>
  <si>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</si>
  <si>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</si>
  <si>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</si>
  <si>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</si>
  <si>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</si>
  <si>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</si>
  <si>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</si>
  <si>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</si>
  <si>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</si>
  <si>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</si>
  <si>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</si>
  <si>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</si>
  <si>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</si>
  <si>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</si>
  <si>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</si>
  <si>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</si>
  <si>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</si>
  <si>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</si>
  <si>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</si>
  <si>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</si>
  <si>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</si>
  <si>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</si>
  <si>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</si>
  <si>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</si>
  <si>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</si>
  <si>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</si>
  <si>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</si>
  <si>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</si>
  <si>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</si>
  <si>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</si>
  <si>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</si>
  <si>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23103</t>
  </si>
  <si>
    <t>WEZEMBEEK-OPPEM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</si>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</sst>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132126.94216846459</c:v>
                </c:pt>
                <c:pt idx="1">
                  <c:v>31010.029367258307</c:v>
                </c:pt>
                <c:pt idx="2">
                  <c:v>1008.136</c:v>
                </c:pt>
                <c:pt idx="3">
                  <c:v>3636.9605968956816</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01239936"/>
        <c:axId val="182305920"/>
      </c:barChart>
      <c:catAx>
        <c:axId val="201239936"/>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20123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132126.94216846459</c:v>
                </c:pt>
                <c:pt idx="1">
                  <c:v>31010.029367258307</c:v>
                </c:pt>
                <c:pt idx="2">
                  <c:v>1008.136</c:v>
                </c:pt>
                <c:pt idx="3">
                  <c:v>3636.9605968956816</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26905.919019131226</c:v>
                </c:pt>
                <c:pt idx="1">
                  <c:v>6372.1366817720263</c:v>
                </c:pt>
                <c:pt idx="2">
                  <c:v>218.40399725304459</c:v>
                </c:pt>
                <c:pt idx="3">
                  <c:v>748.50920075265071</c:v>
                </c:pt>
                <c:pt idx="4">
                  <c:v>324.58284485303335</c:v>
                </c:pt>
                <c:pt idx="5">
                  <c:v>23360.70132099641</c:v>
                </c:pt>
                <c:pt idx="6">
                  <c:v>156.51976174940299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35840"/>
      </c:barChart>
      <c:catAx>
        <c:axId val="182397184"/>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26905.919019131226</c:v>
                </c:pt>
                <c:pt idx="1">
                  <c:v>6372.1366817720263</c:v>
                </c:pt>
                <c:pt idx="2">
                  <c:v>218.40399725304459</c:v>
                </c:pt>
                <c:pt idx="3">
                  <c:v>748.50920075265071</c:v>
                </c:pt>
                <c:pt idx="4">
                  <c:v>324.58284485303335</c:v>
                </c:pt>
                <c:pt idx="5">
                  <c:v>23360.70132099641</c:v>
                </c:pt>
                <c:pt idx="6">
                  <c:v>156.51976174940299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23103</v>
      </c>
      <c r="B6" s="398"/>
      <c r="C6" s="399"/>
    </row>
    <row r="7" spans="1:7" s="396" customFormat="1" ht="15.75" customHeight="1">
      <c r="A7" s="400" t="str">
        <f>txtMunicipality</f>
        <v>WEZEMBEEK-OPPEM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5356</v>
      </c>
      <c r="C9" s="338">
        <v>5373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100</v>
      </c>
    </row>
    <row r="15" spans="1:6">
      <c r="A15" s="1269" t="s">
        <v>184</v>
      </c>
      <c r="B15" s="335">
        <v>0</v>
      </c>
    </row>
    <row r="16" spans="1:6">
      <c r="A16" s="1269" t="s">
        <v>6</v>
      </c>
      <c r="B16" s="335">
        <v>0</v>
      </c>
    </row>
    <row r="17" spans="1:6">
      <c r="A17" s="1269" t="s">
        <v>7</v>
      </c>
      <c r="B17" s="335">
        <v>0</v>
      </c>
    </row>
    <row r="18" spans="1:6">
      <c r="A18" s="1269" t="s">
        <v>8</v>
      </c>
      <c r="B18" s="335">
        <v>0</v>
      </c>
    </row>
    <row r="19" spans="1:6">
      <c r="A19" s="1269" t="s">
        <v>9</v>
      </c>
      <c r="B19" s="335">
        <v>0</v>
      </c>
    </row>
    <row r="20" spans="1:6">
      <c r="A20" s="1269" t="s">
        <v>10</v>
      </c>
      <c r="B20" s="335">
        <v>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v>
      </c>
    </row>
    <row r="27" spans="1:6">
      <c r="A27" s="1269" t="s">
        <v>17</v>
      </c>
      <c r="B27" s="335">
        <v>10</v>
      </c>
    </row>
    <row r="28" spans="1:6" s="341" customFormat="1">
      <c r="A28" s="1270" t="s">
        <v>18</v>
      </c>
      <c r="B28" s="1270">
        <v>0</v>
      </c>
    </row>
    <row r="29" spans="1:6">
      <c r="A29" s="1270" t="s">
        <v>874</v>
      </c>
      <c r="B29" s="1270">
        <v>52</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1997685.1284281199</v>
      </c>
      <c r="E36" s="335">
        <v>0</v>
      </c>
      <c r="F36" s="335">
        <v>0</v>
      </c>
    </row>
    <row r="37" spans="1:6">
      <c r="A37" s="1269" t="s">
        <v>25</v>
      </c>
      <c r="B37" s="1269" t="s">
        <v>28</v>
      </c>
      <c r="C37" s="335">
        <v>0</v>
      </c>
      <c r="D37" s="335">
        <v>0</v>
      </c>
      <c r="E37" s="335">
        <v>0</v>
      </c>
      <c r="F37" s="335">
        <v>0</v>
      </c>
    </row>
    <row r="38" spans="1:6">
      <c r="A38" s="1269" t="s">
        <v>25</v>
      </c>
      <c r="B38" s="1269" t="s">
        <v>29</v>
      </c>
      <c r="C38" s="335">
        <v>1</v>
      </c>
      <c r="D38" s="335">
        <v>12326.464279919401</v>
      </c>
      <c r="E38" s="335">
        <v>0</v>
      </c>
      <c r="F38" s="335">
        <v>0</v>
      </c>
    </row>
    <row r="39" spans="1:6">
      <c r="A39" s="1269" t="s">
        <v>30</v>
      </c>
      <c r="B39" s="1269" t="s">
        <v>31</v>
      </c>
      <c r="C39" s="335">
        <v>4135</v>
      </c>
      <c r="D39" s="335">
        <v>107081973.54752401</v>
      </c>
      <c r="E39" s="335">
        <v>5302</v>
      </c>
      <c r="F39" s="335">
        <v>21812009.643227</v>
      </c>
    </row>
    <row r="40" spans="1:6">
      <c r="A40" s="1269" t="s">
        <v>30</v>
      </c>
      <c r="B40" s="1269" t="s">
        <v>29</v>
      </c>
      <c r="C40" s="335">
        <v>0</v>
      </c>
      <c r="D40" s="335">
        <v>0</v>
      </c>
      <c r="E40" s="335">
        <v>0</v>
      </c>
      <c r="F40" s="335">
        <v>0</v>
      </c>
    </row>
    <row r="41" spans="1:6">
      <c r="A41" s="1269" t="s">
        <v>32</v>
      </c>
      <c r="B41" s="1269" t="s">
        <v>33</v>
      </c>
      <c r="C41" s="335">
        <v>24</v>
      </c>
      <c r="D41" s="335">
        <v>638439.93356850196</v>
      </c>
      <c r="E41" s="335">
        <v>39</v>
      </c>
      <c r="F41" s="335">
        <v>163605.68334182701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50898.390647482003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473020.74317492801</v>
      </c>
      <c r="E48" s="335">
        <v>18</v>
      </c>
      <c r="F48" s="335">
        <v>111382.07878421</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0</v>
      </c>
      <c r="F51" s="335">
        <v>0</v>
      </c>
    </row>
    <row r="52" spans="1:6">
      <c r="A52" s="1269" t="s">
        <v>42</v>
      </c>
      <c r="B52" s="1269" t="s">
        <v>29</v>
      </c>
      <c r="C52" s="335">
        <v>0</v>
      </c>
      <c r="D52" s="335">
        <v>0</v>
      </c>
      <c r="E52" s="335">
        <v>1</v>
      </c>
      <c r="F52" s="335">
        <v>52820</v>
      </c>
    </row>
    <row r="53" spans="1:6">
      <c r="A53" s="1269" t="s">
        <v>44</v>
      </c>
      <c r="B53" s="1269" t="s">
        <v>45</v>
      </c>
      <c r="C53" s="335">
        <v>105</v>
      </c>
      <c r="D53" s="335">
        <v>3761961.4601835902</v>
      </c>
      <c r="E53" s="335">
        <v>170</v>
      </c>
      <c r="F53" s="335">
        <v>715456.78359543299</v>
      </c>
    </row>
    <row r="54" spans="1:6">
      <c r="A54" s="1269" t="s">
        <v>46</v>
      </c>
      <c r="B54" s="1269" t="s">
        <v>47</v>
      </c>
      <c r="C54" s="335">
        <v>0</v>
      </c>
      <c r="D54" s="335">
        <v>0</v>
      </c>
      <c r="E54" s="335">
        <v>1</v>
      </c>
      <c r="F54" s="335">
        <v>1008136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30</v>
      </c>
      <c r="D57" s="335">
        <v>3531071.2291649701</v>
      </c>
      <c r="E57" s="335">
        <v>44</v>
      </c>
      <c r="F57" s="335">
        <v>732746.93454340799</v>
      </c>
    </row>
    <row r="58" spans="1:6">
      <c r="A58" s="1269" t="s">
        <v>49</v>
      </c>
      <c r="B58" s="1269" t="s">
        <v>51</v>
      </c>
      <c r="C58" s="335">
        <v>17</v>
      </c>
      <c r="D58" s="335">
        <v>756403.42392445402</v>
      </c>
      <c r="E58" s="335">
        <v>25</v>
      </c>
      <c r="F58" s="335">
        <v>419810.56628113001</v>
      </c>
    </row>
    <row r="59" spans="1:6">
      <c r="A59" s="1269" t="s">
        <v>49</v>
      </c>
      <c r="B59" s="1269" t="s">
        <v>52</v>
      </c>
      <c r="C59" s="335">
        <v>16</v>
      </c>
      <c r="D59" s="335">
        <v>579401.51501100499</v>
      </c>
      <c r="E59" s="335">
        <v>55</v>
      </c>
      <c r="F59" s="335">
        <v>2402249.7552807801</v>
      </c>
    </row>
    <row r="60" spans="1:6">
      <c r="A60" s="1269" t="s">
        <v>49</v>
      </c>
      <c r="B60" s="1269" t="s">
        <v>53</v>
      </c>
      <c r="C60" s="335">
        <v>11</v>
      </c>
      <c r="D60" s="335">
        <v>994544.01148065401</v>
      </c>
      <c r="E60" s="335">
        <v>20</v>
      </c>
      <c r="F60" s="335">
        <v>447017.86539567698</v>
      </c>
    </row>
    <row r="61" spans="1:6">
      <c r="A61" s="1269" t="s">
        <v>49</v>
      </c>
      <c r="B61" s="1269" t="s">
        <v>54</v>
      </c>
      <c r="C61" s="335">
        <v>119</v>
      </c>
      <c r="D61" s="335">
        <v>5783673.54758777</v>
      </c>
      <c r="E61" s="335">
        <v>221</v>
      </c>
      <c r="F61" s="335">
        <v>2856964.7262341701</v>
      </c>
    </row>
    <row r="62" spans="1:6">
      <c r="A62" s="1269" t="s">
        <v>49</v>
      </c>
      <c r="B62" s="1269" t="s">
        <v>55</v>
      </c>
      <c r="C62" s="335">
        <v>4</v>
      </c>
      <c r="D62" s="335">
        <v>151216.90591147399</v>
      </c>
      <c r="E62" s="335">
        <v>4</v>
      </c>
      <c r="F62" s="335">
        <v>24168.885144902601</v>
      </c>
    </row>
    <row r="63" spans="1:6">
      <c r="A63" s="1269" t="s">
        <v>49</v>
      </c>
      <c r="B63" s="1269" t="s">
        <v>29</v>
      </c>
      <c r="C63" s="335">
        <v>91</v>
      </c>
      <c r="D63" s="335">
        <v>9456374.0489902608</v>
      </c>
      <c r="E63" s="335">
        <v>80</v>
      </c>
      <c r="F63" s="335">
        <v>2390125.4648566698</v>
      </c>
    </row>
    <row r="64" spans="1:6">
      <c r="A64" s="1269" t="s">
        <v>56</v>
      </c>
      <c r="B64" s="1269" t="s">
        <v>57</v>
      </c>
      <c r="C64" s="335">
        <v>0</v>
      </c>
      <c r="D64" s="335">
        <v>0</v>
      </c>
      <c r="E64" s="335">
        <v>0</v>
      </c>
      <c r="F64" s="335">
        <v>0</v>
      </c>
    </row>
    <row r="65" spans="1:6">
      <c r="A65" s="1269" t="s">
        <v>56</v>
      </c>
      <c r="B65" s="1269" t="s">
        <v>29</v>
      </c>
      <c r="C65" s="335">
        <v>0</v>
      </c>
      <c r="D65" s="335">
        <v>0</v>
      </c>
      <c r="E65" s="335">
        <v>1</v>
      </c>
      <c r="F65" s="335">
        <v>43192.951844953001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14983336</v>
      </c>
      <c r="E73" s="335">
        <v>22320366.686956245</v>
      </c>
    </row>
    <row r="74" spans="1:6">
      <c r="A74" s="1269" t="s">
        <v>64</v>
      </c>
      <c r="B74" s="1269" t="s">
        <v>727</v>
      </c>
      <c r="C74" s="1269" t="s">
        <v>728</v>
      </c>
      <c r="D74" s="335">
        <v>328555.56306391174</v>
      </c>
      <c r="E74" s="335">
        <v>638536.87298092176</v>
      </c>
    </row>
    <row r="75" spans="1:6">
      <c r="A75" s="1269" t="s">
        <v>65</v>
      </c>
      <c r="B75" s="1269" t="s">
        <v>725</v>
      </c>
      <c r="C75" s="1269" t="s">
        <v>729</v>
      </c>
      <c r="D75" s="335">
        <v>13077272</v>
      </c>
      <c r="E75" s="335">
        <v>20503053.887634981</v>
      </c>
    </row>
    <row r="76" spans="1:6">
      <c r="A76" s="1269" t="s">
        <v>65</v>
      </c>
      <c r="B76" s="1269" t="s">
        <v>727</v>
      </c>
      <c r="C76" s="1269" t="s">
        <v>730</v>
      </c>
      <c r="D76" s="335">
        <v>8931.5</v>
      </c>
      <c r="E76" s="335">
        <v>76936.251390934602</v>
      </c>
    </row>
    <row r="77" spans="1:6">
      <c r="A77" s="1269" t="s">
        <v>66</v>
      </c>
      <c r="B77" s="1269" t="s">
        <v>725</v>
      </c>
      <c r="C77" s="1269" t="s">
        <v>731</v>
      </c>
      <c r="D77" s="335">
        <v>73213698</v>
      </c>
      <c r="E77" s="335">
        <v>79204438.441423938</v>
      </c>
    </row>
    <row r="78" spans="1:6">
      <c r="A78" s="1265" t="s">
        <v>66</v>
      </c>
      <c r="B78" s="1265" t="s">
        <v>727</v>
      </c>
      <c r="C78" s="1265" t="s">
        <v>732</v>
      </c>
      <c r="D78" s="1265">
        <v>8157757</v>
      </c>
      <c r="E78" s="1265">
        <v>8673368.7746430263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161758.87387217654</v>
      </c>
      <c r="C83" s="335">
        <v>160341.9765511899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653.41246140819737</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2958</v>
      </c>
    </row>
    <row r="98" spans="1:6">
      <c r="A98" s="1269" t="s">
        <v>72</v>
      </c>
      <c r="B98" s="335">
        <v>4</v>
      </c>
    </row>
    <row r="99" spans="1:6">
      <c r="A99" s="1269" t="s">
        <v>73</v>
      </c>
      <c r="B99" s="335">
        <v>27</v>
      </c>
    </row>
    <row r="100" spans="1:6">
      <c r="A100" s="1269" t="s">
        <v>74</v>
      </c>
      <c r="B100" s="335">
        <v>215</v>
      </c>
    </row>
    <row r="101" spans="1:6">
      <c r="A101" s="1269" t="s">
        <v>75</v>
      </c>
      <c r="B101" s="335">
        <v>11</v>
      </c>
    </row>
    <row r="102" spans="1:6">
      <c r="A102" s="1269" t="s">
        <v>76</v>
      </c>
      <c r="B102" s="335">
        <v>127</v>
      </c>
    </row>
    <row r="103" spans="1:6">
      <c r="A103" s="1269" t="s">
        <v>77</v>
      </c>
      <c r="B103" s="335">
        <v>15</v>
      </c>
    </row>
    <row r="104" spans="1:6">
      <c r="A104" s="1269" t="s">
        <v>78</v>
      </c>
      <c r="B104" s="335">
        <v>1366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40</v>
      </c>
    </row>
    <row r="130" spans="1:6">
      <c r="A130" s="1269" t="s">
        <v>295</v>
      </c>
      <c r="B130" s="335">
        <v>0</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33130.87843188081</v>
      </c>
      <c r="C3" s="43" t="s">
        <v>170</v>
      </c>
      <c r="D3" s="43"/>
      <c r="E3" s="156"/>
      <c r="F3" s="43"/>
      <c r="G3" s="43"/>
      <c r="H3" s="43"/>
      <c r="I3" s="43"/>
      <c r="J3" s="43"/>
      <c r="K3" s="96"/>
    </row>
    <row r="4" spans="1:11">
      <c r="A4" s="366" t="s">
        <v>171</v>
      </c>
      <c r="B4" s="49">
        <f>IF(ISERROR('SEAP template'!B69),0,'SEAP template'!B69)</f>
        <v>653.41246140819737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0.21664140279986491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1008.136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1008.136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0.21664140279986491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218.40399725304459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21812.009643227</v>
      </c>
      <c r="C5" s="17">
        <f>IF(ISERROR('Eigen informatie GS &amp; warmtenet'!B57),0,'Eigen informatie GS &amp; warmtenet'!B57)</f>
        <v>0</v>
      </c>
      <c r="D5" s="30">
        <f>(SUM(HH_hh_gas_kWh,HH_rest_gas_kWh)/1000)*0.902</f>
        <v>96587.940139866652</v>
      </c>
      <c r="E5" s="17">
        <f>B46*B57</f>
        <v>2015.4177106913683</v>
      </c>
      <c r="F5" s="17">
        <f>B51*B62</f>
        <v>7755.4858850635264</v>
      </c>
      <c r="G5" s="18"/>
      <c r="H5" s="17"/>
      <c r="I5" s="17"/>
      <c r="J5" s="17">
        <f>B50*B61+C50*C61</f>
        <v>0</v>
      </c>
      <c r="K5" s="17"/>
      <c r="L5" s="17"/>
      <c r="M5" s="17"/>
      <c r="N5" s="17">
        <f>B48*B59+C48*C59</f>
        <v>3078.2296615411792</v>
      </c>
      <c r="O5" s="17">
        <f>B69*B70*B71</f>
        <v>71.913333333333341</v>
      </c>
      <c r="P5" s="17">
        <f>B77*B78*B79/1000-B77*B78*B79/1000/B80</f>
        <v>152.53333333333333</v>
      </c>
    </row>
    <row r="6" spans="1:16">
      <c r="A6" s="16" t="s">
        <v>634</v>
      </c>
      <c r="B6" s="831">
        <f>kWh_PV_kleiner_dan_10kW</f>
        <v>653.41246140819737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22465.422104635196</v>
      </c>
      <c r="C8" s="21">
        <f>C5</f>
        <v>0</v>
      </c>
      <c r="D8" s="21">
        <f>D5</f>
        <v>96587.940139866652</v>
      </c>
      <c r="E8" s="21">
        <f>E5</f>
        <v>2015.4177106913683</v>
      </c>
      <c r="F8" s="21">
        <f>F5</f>
        <v>7755.4858850635264</v>
      </c>
      <c r="G8" s="21"/>
      <c r="H8" s="21"/>
      <c r="I8" s="21"/>
      <c r="J8" s="21">
        <f>J5</f>
        <v>0</v>
      </c>
      <c r="K8" s="21"/>
      <c r="L8" s="21">
        <f>L5</f>
        <v>0</v>
      </c>
      <c r="M8" s="21">
        <f>M5</f>
        <v>0</v>
      </c>
      <c r="N8" s="21">
        <f>N5</f>
        <v>3078.2296615411792</v>
      </c>
      <c r="O8" s="21">
        <f>O5</f>
        <v>71.913333333333341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0.21664140279986491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4866.9405592392623</v>
      </c>
      <c r="C12" s="23">
        <f ca="1">C10*C8</f>
        <v>0</v>
      </c>
      <c r="D12" s="23">
        <f>D8*D10</f>
        <v>19510.763908253066</v>
      </c>
      <c r="E12" s="23">
        <f>E10*E8</f>
        <v>457.49982032694061</v>
      </c>
      <c r="F12" s="23">
        <f>F10*F8</f>
        <v>2070.7147313119617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2958</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10.671936758893279</v>
      </c>
      <c r="D20" s="231"/>
      <c r="E20" s="15"/>
    </row>
    <row r="21" spans="1:7">
      <c r="A21" s="173" t="s">
        <v>74</v>
      </c>
      <c r="B21" s="37">
        <f>aantalw2001_elektriciteit</f>
        <v>215</v>
      </c>
      <c r="C21" s="169">
        <f>IF(ISERROR(B21/SUM($B$20,$B$21,$B$22)*100),0,B21/SUM($B$20,$B$21,$B$22)*100)</f>
        <v>84.980237154150188</v>
      </c>
      <c r="D21" s="231"/>
      <c r="E21" s="15"/>
    </row>
    <row r="22" spans="1:7">
      <c r="A22" s="173" t="s">
        <v>75</v>
      </c>
      <c r="B22" s="37">
        <f>aantalw2001_hout</f>
        <v>11</v>
      </c>
      <c r="C22" s="169">
        <f>IF(ISERROR(B22/SUM($B$20,$B$21,$B$22)*100),0,B22/SUM($B$20,$B$21,$B$22)*100)</f>
        <v>4.3478260869565215</v>
      </c>
      <c r="D22" s="231"/>
      <c r="E22" s="15"/>
    </row>
    <row r="23" spans="1:7">
      <c r="A23" s="173" t="s">
        <v>76</v>
      </c>
      <c r="B23" s="37">
        <f>aantalw2001_niet_gespec</f>
        <v>127</v>
      </c>
      <c r="C23" s="168" t="s">
        <v>111</v>
      </c>
      <c r="D23" s="230"/>
      <c r="E23" s="15"/>
    </row>
    <row r="24" spans="1:7">
      <c r="A24" s="173" t="s">
        <v>77</v>
      </c>
      <c r="B24" s="37">
        <f>aantalw2001_steenkool</f>
        <v>15</v>
      </c>
      <c r="C24" s="168" t="s">
        <v>111</v>
      </c>
      <c r="D24" s="231"/>
      <c r="E24" s="15"/>
    </row>
    <row r="25" spans="1:7">
      <c r="A25" s="173" t="s">
        <v>78</v>
      </c>
      <c r="B25" s="37">
        <f>aantalw2001_stookolie</f>
        <v>1366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5356</v>
      </c>
      <c r="C28" s="36"/>
      <c r="D28" s="230"/>
    </row>
    <row r="29" spans="1:7" s="15" customFormat="1">
      <c r="A29" s="232" t="s">
        <v>746</v>
      </c>
      <c r="B29" s="37">
        <f>SUM(HH_hh_gas_aantal,HH_rest_gas_aantal)</f>
        <v>4135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4135</v>
      </c>
      <c r="C32" s="169">
        <f>IF(ISERROR(B32/SUM($B$32,$B$34,$B$35,$B$36,$B$38,$B$39)*100),0,B32/SUM($B$32,$B$34,$B$35,$B$36,$B$38,$B$39)*100)</f>
        <v>77.318623784592361</v>
      </c>
      <c r="D32" s="235"/>
      <c r="G32" s="15"/>
    </row>
    <row r="33" spans="1:7">
      <c r="A33" s="173" t="s">
        <v>72</v>
      </c>
      <c r="B33" s="34" t="s">
        <v>111</v>
      </c>
      <c r="C33" s="169"/>
      <c r="D33" s="235"/>
      <c r="G33" s="15"/>
    </row>
    <row r="34" spans="1:7">
      <c r="A34" s="173" t="s">
        <v>73</v>
      </c>
      <c r="B34" s="33">
        <f>IF((($B$28-$B$32-$B$39-$B$77-$B$38)*C20/100)&lt;0,0,($B$28-$B$32-$B$39-$B$77-$B$38)*C20/100)</f>
        <v>96.719762845849786</v>
      </c>
      <c r="C34" s="169">
        <f>IF(ISERROR(B34/SUM($B$32,$B$34,$B$35,$B$36,$B$38,$B$39)*100),0,B34/SUM($B$32,$B$34,$B$35,$B$36,$B$38,$B$39)*100)</f>
        <v>1.8085221175364583</v>
      </c>
      <c r="D34" s="235"/>
      <c r="G34" s="15"/>
    </row>
    <row r="35" spans="1:7">
      <c r="A35" s="173" t="s">
        <v>74</v>
      </c>
      <c r="B35" s="33">
        <f>IF((($B$28-$B$32-$B$39-$B$77-$B$38)*C21/100)&lt;0,0,($B$28-$B$32-$B$39-$B$77-$B$38)*C21/100)</f>
        <v>770.17588932806302</v>
      </c>
      <c r="C35" s="169">
        <f>IF(ISERROR(B35/SUM($B$32,$B$34,$B$35,$B$36,$B$38,$B$39)*100),0,B35/SUM($B$32,$B$34,$B$35,$B$36,$B$38,$B$39)*100)</f>
        <v>14.401194639642165</v>
      </c>
      <c r="D35" s="235"/>
      <c r="G35" s="15"/>
    </row>
    <row r="36" spans="1:7">
      <c r="A36" s="173" t="s">
        <v>75</v>
      </c>
      <c r="B36" s="33">
        <f>IF((($B$28-$B$32-$B$39-$B$77-$B$38)*C22/100)&lt;0,0,($B$28-$B$32-$B$39-$B$77-$B$38)*C22/100)</f>
        <v>39.404347826086948</v>
      </c>
      <c r="C36" s="169">
        <f>IF(ISERROR(B36/SUM($B$32,$B$34,$B$35,$B$36,$B$38,$B$39)*100),0,B36/SUM($B$32,$B$34,$B$35,$B$36,$B$38,$B$39)*100)</f>
        <v>0.736805307144483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306.70000000000005</v>
      </c>
      <c r="C39" s="169">
        <f>IF(ISERROR(B39/SUM($B$32,$B$34,$B$35,$B$36,$B$38,$B$39)*100),0,B39/SUM($B$32,$B$34,$B$35,$B$36,$B$38,$B$39)*100)</f>
        <v>5.7348541510845186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4135</v>
      </c>
      <c r="C44" s="34" t="s">
        <v>111</v>
      </c>
      <c r="D44" s="176"/>
    </row>
    <row r="45" spans="1:7">
      <c r="A45" s="173" t="s">
        <v>72</v>
      </c>
      <c r="B45" s="33" t="str">
        <f t="shared" si="0"/>
        <v>-</v>
      </c>
      <c r="C45" s="34" t="s">
        <v>111</v>
      </c>
      <c r="D45" s="176"/>
    </row>
    <row r="46" spans="1:7">
      <c r="A46" s="173" t="s">
        <v>73</v>
      </c>
      <c r="B46" s="33">
        <f t="shared" si="0"/>
        <v>96.719762845849786</v>
      </c>
      <c r="C46" s="34" t="s">
        <v>111</v>
      </c>
      <c r="D46" s="176"/>
    </row>
    <row r="47" spans="1:7">
      <c r="A47" s="173" t="s">
        <v>74</v>
      </c>
      <c r="B47" s="33">
        <f t="shared" si="0"/>
        <v>770.17588932806302</v>
      </c>
      <c r="C47" s="34" t="s">
        <v>111</v>
      </c>
      <c r="D47" s="176"/>
    </row>
    <row r="48" spans="1:7">
      <c r="A48" s="173" t="s">
        <v>75</v>
      </c>
      <c r="B48" s="33">
        <f t="shared" si="0"/>
        <v>39.404347826086948</v>
      </c>
      <c r="C48" s="33">
        <f>B48*10</f>
        <v>394.04347826086951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306.70000000000005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9273.0841977367381</v>
      </c>
      <c r="C5" s="17">
        <f>IF(ISERROR('Eigen informatie GS &amp; warmtenet'!B58),0,'Eigen informatie GS &amp; warmtenet'!B58)</f>
        <v>0</v>
      </c>
      <c r="D5" s="30">
        <f>SUM(D6:D12)</f>
        <v>19169.921583227671</v>
      </c>
      <c r="E5" s="17">
        <f>SUM(E6:E12)</f>
        <v>103.73682934019448</v>
      </c>
      <c r="F5" s="17">
        <f>SUM(F6:F12)</f>
        <v>1750.3007221755229</v>
      </c>
      <c r="G5" s="18"/>
      <c r="H5" s="17"/>
      <c r="I5" s="17"/>
      <c r="J5" s="17">
        <f>SUM(J6:J12)</f>
        <v>0</v>
      </c>
      <c r="K5" s="17"/>
      <c r="L5" s="17"/>
      <c r="M5" s="17"/>
      <c r="N5" s="17">
        <f>SUM(N6:N12)</f>
        <v>712.98603477817937</v>
      </c>
      <c r="O5" s="17">
        <f>B38*B39*B40</f>
        <v>0</v>
      </c>
      <c r="P5" s="17">
        <f>B46*B47*B48/1000-B46*B47*B48/1000/B49</f>
        <v>0</v>
      </c>
      <c r="R5" s="32"/>
    </row>
    <row r="6" spans="1:18">
      <c r="A6" s="32" t="s">
        <v>54</v>
      </c>
      <c r="B6" s="37">
        <f>B26</f>
        <v>2856.96472623417</v>
      </c>
      <c r="C6" s="33"/>
      <c r="D6" s="37">
        <f>IF(ISERROR(TER_kantoor_gas_kWh/1000),0,TER_kantoor_gas_kWh/1000)*0.902</f>
        <v>5216.8735399241687</v>
      </c>
      <c r="E6" s="33">
        <f>$C$26*'E Balans VL '!I12/100/3.6*1000000</f>
        <v>11.099912816094056</v>
      </c>
      <c r="F6" s="33">
        <f>$C$26*('E Balans VL '!L12+'E Balans VL '!N12)/100/3.6*1000000</f>
        <v>434.51833855381392</v>
      </c>
      <c r="G6" s="34"/>
      <c r="H6" s="33"/>
      <c r="I6" s="33"/>
      <c r="J6" s="33">
        <f>$C$26*('E Balans VL '!D12+'E Balans VL '!E12)/100/3.6*1000000</f>
        <v>0</v>
      </c>
      <c r="K6" s="33"/>
      <c r="L6" s="33"/>
      <c r="M6" s="33"/>
      <c r="N6" s="33">
        <f>$C$26*'E Balans VL '!Y12/100/3.6*1000000</f>
        <v>1.5745298201005127</v>
      </c>
      <c r="O6" s="33"/>
      <c r="P6" s="33"/>
      <c r="R6" s="32"/>
    </row>
    <row r="7" spans="1:18">
      <c r="A7" s="32" t="s">
        <v>53</v>
      </c>
      <c r="B7" s="37">
        <f t="shared" ref="B7:B12" si="0">B27</f>
        <v>447.01786539567701</v>
      </c>
      <c r="C7" s="33"/>
      <c r="D7" s="37">
        <f>IF(ISERROR(TER_horeca_gas_kWh/1000),0,TER_horeca_gas_kWh/1000)*0.902</f>
        <v>897.07869835554993</v>
      </c>
      <c r="E7" s="33">
        <f>$C$27*'E Balans VL '!I9/100/3.6*1000000</f>
        <v>25.180635870514521</v>
      </c>
      <c r="F7" s="33">
        <f>$C$27*('E Balans VL '!L9+'E Balans VL '!N9)/100/3.6*1000000</f>
        <v>128.89318996683986</v>
      </c>
      <c r="G7" s="34"/>
      <c r="H7" s="33"/>
      <c r="I7" s="33"/>
      <c r="J7" s="33">
        <f>$C$27*('E Balans VL '!D9+'E Balans VL '!E9)/100/3.6*1000000</f>
        <v>0</v>
      </c>
      <c r="K7" s="33"/>
      <c r="L7" s="33"/>
      <c r="M7" s="33"/>
      <c r="N7" s="33">
        <f>$C$27*'E Balans VL '!Y9/100/3.6*1000000</f>
        <v>0.12341930971236112</v>
      </c>
      <c r="O7" s="33"/>
      <c r="P7" s="33"/>
      <c r="R7" s="32"/>
    </row>
    <row r="8" spans="1:18">
      <c r="A8" s="6" t="s">
        <v>52</v>
      </c>
      <c r="B8" s="37">
        <f t="shared" si="0"/>
        <v>2402.2497552807799</v>
      </c>
      <c r="C8" s="33"/>
      <c r="D8" s="37">
        <f>IF(ISERROR(TER_handel_gas_kWh/1000),0,TER_handel_gas_kWh/1000)*0.902</f>
        <v>522.62016653992657</v>
      </c>
      <c r="E8" s="33">
        <f>$C$28*'E Balans VL '!I13/100/3.6*1000000</f>
        <v>34.624568996286698</v>
      </c>
      <c r="F8" s="33">
        <f>$C$28*('E Balans VL '!L13+'E Balans VL '!N13)/100/3.6*1000000</f>
        <v>417.32672711399323</v>
      </c>
      <c r="G8" s="34"/>
      <c r="H8" s="33"/>
      <c r="I8" s="33"/>
      <c r="J8" s="33">
        <f>$C$28*('E Balans VL '!D13+'E Balans VL '!E13)/100/3.6*1000000</f>
        <v>0</v>
      </c>
      <c r="K8" s="33"/>
      <c r="L8" s="33"/>
      <c r="M8" s="33"/>
      <c r="N8" s="33">
        <f>$C$28*'E Balans VL '!Y13/100/3.6*1000000</f>
        <v>7.1974076907729501</v>
      </c>
      <c r="O8" s="33"/>
      <c r="P8" s="33"/>
      <c r="R8" s="32"/>
    </row>
    <row r="9" spans="1:18">
      <c r="A9" s="32" t="s">
        <v>51</v>
      </c>
      <c r="B9" s="37">
        <f t="shared" si="0"/>
        <v>419.81056628113004</v>
      </c>
      <c r="C9" s="33"/>
      <c r="D9" s="37">
        <f>IF(ISERROR(TER_gezond_gas_kWh/1000),0,TER_gezond_gas_kWh/1000)*0.902</f>
        <v>682.27588837985752</v>
      </c>
      <c r="E9" s="33">
        <f>$C$29*'E Balans VL '!I10/100/3.6*1000000</f>
        <v>0.44846649569107316</v>
      </c>
      <c r="F9" s="33">
        <f>$C$29*('E Balans VL '!L10+'E Balans VL '!N10)/100/3.6*1000000</f>
        <v>68.483861882328185</v>
      </c>
      <c r="G9" s="34"/>
      <c r="H9" s="33"/>
      <c r="I9" s="33"/>
      <c r="J9" s="33">
        <f>$C$29*('E Balans VL '!D10+'E Balans VL '!E10)/100/3.6*1000000</f>
        <v>0</v>
      </c>
      <c r="K9" s="33"/>
      <c r="L9" s="33"/>
      <c r="M9" s="33"/>
      <c r="N9" s="33">
        <f>$C$29*'E Balans VL '!Y10/100/3.6*1000000</f>
        <v>4.3217102407339931</v>
      </c>
      <c r="O9" s="33"/>
      <c r="P9" s="33"/>
      <c r="R9" s="32"/>
    </row>
    <row r="10" spans="1:18">
      <c r="A10" s="32" t="s">
        <v>50</v>
      </c>
      <c r="B10" s="37">
        <f t="shared" si="0"/>
        <v>732.74693454340797</v>
      </c>
      <c r="C10" s="33"/>
      <c r="D10" s="37">
        <f>IF(ISERROR(TER_ander_gas_kWh/1000),0,TER_ander_gas_kWh/1000)*0.902</f>
        <v>3185.026248706803</v>
      </c>
      <c r="E10" s="33">
        <f>$C$30*'E Balans VL '!I14/100/3.6*1000000</f>
        <v>3.369791692882377</v>
      </c>
      <c r="F10" s="33">
        <f>$C$30*('E Balans VL '!L14+'E Balans VL '!N14)/100/3.6*1000000</f>
        <v>219.6273691983244</v>
      </c>
      <c r="G10" s="34"/>
      <c r="H10" s="33"/>
      <c r="I10" s="33"/>
      <c r="J10" s="33">
        <f>$C$30*('E Balans VL '!D14+'E Balans VL '!E14)/100/3.6*1000000</f>
        <v>0</v>
      </c>
      <c r="K10" s="33"/>
      <c r="L10" s="33"/>
      <c r="M10" s="33"/>
      <c r="N10" s="33">
        <f>$C$30*'E Balans VL '!Y14/100/3.6*1000000</f>
        <v>510.04023563061321</v>
      </c>
      <c r="O10" s="33"/>
      <c r="P10" s="33"/>
      <c r="R10" s="32"/>
    </row>
    <row r="11" spans="1:18">
      <c r="A11" s="32" t="s">
        <v>55</v>
      </c>
      <c r="B11" s="37">
        <f t="shared" si="0"/>
        <v>24.1688851449026</v>
      </c>
      <c r="C11" s="33"/>
      <c r="D11" s="37">
        <f>IF(ISERROR(TER_onderwijs_gas_kWh/1000),0,TER_onderwijs_gas_kWh/1000)*0.902</f>
        <v>136.39764913214955</v>
      </c>
      <c r="E11" s="33">
        <f>$C$31*'E Balans VL '!I11/100/3.6*1000000</f>
        <v>2.2419819392453591E-2</v>
      </c>
      <c r="F11" s="33">
        <f>$C$31*('E Balans VL '!L11+'E Balans VL '!N11)/100/3.6*1000000</f>
        <v>8.4899738695162696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2390.1254648566696</v>
      </c>
      <c r="C12" s="33"/>
      <c r="D12" s="37">
        <f>IF(ISERROR(TER_rest_gas_kWh/1000),0,TER_rest_gas_kWh/1000)*0.902</f>
        <v>8529.6493921892161</v>
      </c>
      <c r="E12" s="33">
        <f>$C$32*'E Balans VL '!I8/100/3.6*1000000</f>
        <v>28.991033649333289</v>
      </c>
      <c r="F12" s="33">
        <f>$C$32*('E Balans VL '!L8+'E Balans VL '!N8)/100/3.6*1000000</f>
        <v>472.96126159070684</v>
      </c>
      <c r="G12" s="34"/>
      <c r="H12" s="33"/>
      <c r="I12" s="33"/>
      <c r="J12" s="33">
        <f>$C$32*('E Balans VL '!D8+'E Balans VL '!E8)/100/3.6*1000000</f>
        <v>0</v>
      </c>
      <c r="K12" s="33"/>
      <c r="L12" s="33"/>
      <c r="M12" s="33"/>
      <c r="N12" s="33">
        <f>$C$32*'E Balans VL '!Y8/100/3.6*1000000</f>
        <v>189.72873208624645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9273.0841977367381</v>
      </c>
      <c r="C16" s="21">
        <f t="shared" ca="1" si="1"/>
        <v>0</v>
      </c>
      <c r="D16" s="21">
        <f t="shared" ca="1" si="1"/>
        <v>19169.921583227671</v>
      </c>
      <c r="E16" s="21">
        <f t="shared" si="1"/>
        <v>103.73682934019448</v>
      </c>
      <c r="F16" s="21">
        <f t="shared" ca="1" si="1"/>
        <v>1750.3007221755229</v>
      </c>
      <c r="G16" s="21">
        <f t="shared" si="1"/>
        <v>0</v>
      </c>
      <c r="H16" s="21">
        <f t="shared" si="1"/>
        <v>0</v>
      </c>
      <c r="I16" s="21">
        <f t="shared" si="1"/>
        <v>0</v>
      </c>
      <c r="J16" s="21">
        <f t="shared" si="1"/>
        <v>0</v>
      </c>
      <c r="K16" s="21">
        <f t="shared" si="1"/>
        <v>0</v>
      </c>
      <c r="L16" s="21">
        <f t="shared" ca="1" si="1"/>
        <v>0</v>
      </c>
      <c r="M16" s="21">
        <f t="shared" si="1"/>
        <v>0</v>
      </c>
      <c r="N16" s="21">
        <f t="shared" ca="1" si="1"/>
        <v>712.98603477817937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0.21664140279986491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2008.9339688789469</v>
      </c>
      <c r="C20" s="23">
        <f t="shared" ref="C20:P20" ca="1" si="2">C16*C18</f>
        <v>0</v>
      </c>
      <c r="D20" s="23">
        <f t="shared" ca="1" si="2"/>
        <v>3872.3241598119898</v>
      </c>
      <c r="E20" s="23">
        <f t="shared" si="2"/>
        <v>23.548260260224147</v>
      </c>
      <c r="F20" s="23">
        <f t="shared" ca="1" si="2"/>
        <v>467.33029282086466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2856.96472623417</v>
      </c>
      <c r="C26" s="39">
        <f>IF(ISERROR(B26*3.6/1000000/'E Balans VL '!Z12*100),0,B26*3.6/1000000/'E Balans VL '!Z12*100)</f>
        <v>6.0683345941571334E-2</v>
      </c>
      <c r="D26" s="239" t="s">
        <v>692</v>
      </c>
      <c r="F26" s="6"/>
    </row>
    <row r="27" spans="1:18">
      <c r="A27" s="233" t="s">
        <v>53</v>
      </c>
      <c r="B27" s="33">
        <f>IF(ISERROR(TER_horeca_ele_kWh/1000),0,TER_horeca_ele_kWh/1000)</f>
        <v>447.01786539567701</v>
      </c>
      <c r="C27" s="39">
        <f>IF(ISERROR(B27*3.6/1000000/'E Balans VL '!Z9*100),0,B27*3.6/1000000/'E Balans VL '!Z9*100)</f>
        <v>3.4758361408313766E-2</v>
      </c>
      <c r="D27" s="239" t="s">
        <v>692</v>
      </c>
      <c r="F27" s="6"/>
    </row>
    <row r="28" spans="1:18">
      <c r="A28" s="173" t="s">
        <v>52</v>
      </c>
      <c r="B28" s="33">
        <f>IF(ISERROR(TER_handel_ele_kWh/1000),0,TER_handel_ele_kWh/1000)</f>
        <v>2402.2497552807799</v>
      </c>
      <c r="C28" s="39">
        <f>IF(ISERROR(B28*3.6/1000000/'E Balans VL '!Z13*100),0,B28*3.6/1000000/'E Balans VL '!Z13*100)</f>
        <v>6.8731192663729401E-2</v>
      </c>
      <c r="D28" s="239" t="s">
        <v>692</v>
      </c>
      <c r="F28" s="6"/>
    </row>
    <row r="29" spans="1:18">
      <c r="A29" s="233" t="s">
        <v>51</v>
      </c>
      <c r="B29" s="33">
        <f>IF(ISERROR(TER_gezond_ele_kWh/1000),0,TER_gezond_ele_kWh/1000)</f>
        <v>419.81056628113004</v>
      </c>
      <c r="C29" s="39">
        <f>IF(ISERROR(B29*3.6/1000000/'E Balans VL '!Z10*100),0,B29*3.6/1000000/'E Balans VL '!Z10*100)</f>
        <v>4.576910695224129E-2</v>
      </c>
      <c r="D29" s="239" t="s">
        <v>692</v>
      </c>
      <c r="F29" s="6"/>
    </row>
    <row r="30" spans="1:18">
      <c r="A30" s="233" t="s">
        <v>50</v>
      </c>
      <c r="B30" s="33">
        <f>IF(ISERROR(TER_ander_ele_kWh/1000),0,TER_ander_ele_kWh/1000)</f>
        <v>732.74693454340797</v>
      </c>
      <c r="C30" s="39">
        <f>IF(ISERROR(B30*3.6/1000000/'E Balans VL '!Z14*100),0,B30*3.6/1000000/'E Balans VL '!Z14*100)</f>
        <v>5.3620758472868714E-2</v>
      </c>
      <c r="D30" s="239" t="s">
        <v>692</v>
      </c>
      <c r="F30" s="6"/>
    </row>
    <row r="31" spans="1:18">
      <c r="A31" s="233" t="s">
        <v>55</v>
      </c>
      <c r="B31" s="33">
        <f>IF(ISERROR(TER_onderwijs_ele_kWh/1000),0,TER_onderwijs_ele_kWh/1000)</f>
        <v>24.1688851449026</v>
      </c>
      <c r="C31" s="39">
        <f>IF(ISERROR(B31*3.6/1000000/'E Balans VL '!Z11*100),0,B31*3.6/1000000/'E Balans VL '!Z11*100)</f>
        <v>4.8543385286728994E-3</v>
      </c>
      <c r="D31" s="239" t="s">
        <v>692</v>
      </c>
    </row>
    <row r="32" spans="1:18">
      <c r="A32" s="233" t="s">
        <v>260</v>
      </c>
      <c r="B32" s="33">
        <f>IF(ISERROR(TER_rest_ele_kWh/1000),0,TER_rest_ele_kWh/1000)</f>
        <v>2390.1254648566696</v>
      </c>
      <c r="C32" s="39">
        <f>IF(ISERROR(B32*3.6/1000000/'E Balans VL '!Z8*100),0,B32*3.6/1000000/'E Balans VL '!Z8*100)</f>
        <v>1.9478072045135637E-2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325.88615277351903</v>
      </c>
      <c r="C5" s="17">
        <f>IF(ISERROR('Eigen informatie GS &amp; warmtenet'!B59),0,'Eigen informatie GS &amp; warmtenet'!B59)</f>
        <v>0</v>
      </c>
      <c r="D5" s="30">
        <f>SUM(D6:D15)</f>
        <v>1002.5375304225738</v>
      </c>
      <c r="E5" s="17">
        <f>SUM(E6:E15)</f>
        <v>51.959830529353496</v>
      </c>
      <c r="F5" s="17">
        <f>SUM(F6:F15)</f>
        <v>148.21681357753425</v>
      </c>
      <c r="G5" s="18"/>
      <c r="H5" s="17"/>
      <c r="I5" s="17"/>
      <c r="J5" s="17">
        <f>SUM(J6:J15)</f>
        <v>0.28547927232278048</v>
      </c>
      <c r="K5" s="17"/>
      <c r="L5" s="17"/>
      <c r="M5" s="17"/>
      <c r="N5" s="17">
        <f>SUM(N6:N15)</f>
        <v>76.655614363276328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50.898390647482003</v>
      </c>
      <c r="C8" s="33"/>
      <c r="D8" s="37">
        <f>IF( ISERROR(IND_metaal_Gas_kWH/1000),0,IND_metaal_Gas_kWH/1000)*0.902</f>
        <v>0</v>
      </c>
      <c r="E8" s="33">
        <f>C30*'E Balans VL '!I18/100/3.6*1000000</f>
        <v>1.4619928285165433</v>
      </c>
      <c r="F8" s="33">
        <f>C30*'E Balans VL '!L18/100/3.6*1000000+C30*'E Balans VL '!N18/100/3.6*1000000</f>
        <v>13.054458284345605</v>
      </c>
      <c r="G8" s="34"/>
      <c r="H8" s="33"/>
      <c r="I8" s="33"/>
      <c r="J8" s="40">
        <f>C30*'E Balans VL '!D18/100/3.6*1000000+C30*'E Balans VL '!E18/100/3.6*1000000</f>
        <v>0</v>
      </c>
      <c r="K8" s="33"/>
      <c r="L8" s="33"/>
      <c r="M8" s="33"/>
      <c r="N8" s="33">
        <f>C30*'E Balans VL '!Y18/100/3.6*1000000</f>
        <v>1.3819952044145276</v>
      </c>
      <c r="O8" s="33"/>
      <c r="P8" s="33"/>
      <c r="R8" s="32"/>
    </row>
    <row r="9" spans="1:18">
      <c r="A9" s="6" t="s">
        <v>33</v>
      </c>
      <c r="B9" s="37">
        <f t="shared" si="0"/>
        <v>163.60568334182702</v>
      </c>
      <c r="C9" s="33"/>
      <c r="D9" s="37">
        <f>IF( ISERROR(IND_andere_gas_kWh/1000),0,IND_andere_gas_kWh/1000)*0.902</f>
        <v>575.87282007878878</v>
      </c>
      <c r="E9" s="33">
        <f>C31*'E Balans VL '!I19/100/3.6*1000000</f>
        <v>44.2840359010791</v>
      </c>
      <c r="F9" s="33">
        <f>C31*'E Balans VL '!L19/100/3.6*1000000+C31*'E Balans VL '!N19/100/3.6*1000000</f>
        <v>108.97869820349173</v>
      </c>
      <c r="G9" s="34"/>
      <c r="H9" s="33"/>
      <c r="I9" s="33"/>
      <c r="J9" s="40">
        <f>C31*'E Balans VL '!D19/100/3.6*1000000+C31*'E Balans VL '!E19/100/3.6*1000000</f>
        <v>0</v>
      </c>
      <c r="K9" s="33"/>
      <c r="L9" s="33"/>
      <c r="M9" s="33"/>
      <c r="N9" s="33">
        <f>C31*'E Balans VL '!Y19/100/3.6*1000000</f>
        <v>53.414537888039227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111.38207878420999</v>
      </c>
      <c r="C15" s="33"/>
      <c r="D15" s="37">
        <f>IF( ISERROR(IND_rest_gas_kWh/1000),0,IND_rest_gas_kWh/1000)*0.902</f>
        <v>426.66471034378503</v>
      </c>
      <c r="E15" s="33">
        <f>C37*'E Balans VL '!I15/100/3.6*1000000</f>
        <v>6.2138017997578538</v>
      </c>
      <c r="F15" s="33">
        <f>C37*'E Balans VL '!L15/100/3.6*1000000+C37*'E Balans VL '!N15/100/3.6*1000000</f>
        <v>26.183657089696908</v>
      </c>
      <c r="G15" s="34"/>
      <c r="H15" s="33"/>
      <c r="I15" s="33"/>
      <c r="J15" s="40">
        <f>C37*'E Balans VL '!D15/100/3.6*1000000+C37*'E Balans VL '!E15/100/3.6*1000000</f>
        <v>0.28547927232278048</v>
      </c>
      <c r="K15" s="33"/>
      <c r="L15" s="33"/>
      <c r="M15" s="33"/>
      <c r="N15" s="33">
        <f>C37*'E Balans VL '!Y15/100/3.6*1000000</f>
        <v>21.859081270822578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325.88615277351903</v>
      </c>
      <c r="C18" s="21">
        <f>C5+C16</f>
        <v>0</v>
      </c>
      <c r="D18" s="21">
        <f>MAX((D5+D16),0)</f>
        <v>1002.5375304225738</v>
      </c>
      <c r="E18" s="21">
        <f>MAX((E5+E16),0)</f>
        <v>51.959830529353496</v>
      </c>
      <c r="F18" s="21">
        <f>MAX((F5+F16),0)</f>
        <v>148.21681357753425</v>
      </c>
      <c r="G18" s="21"/>
      <c r="H18" s="21"/>
      <c r="I18" s="21"/>
      <c r="J18" s="21">
        <f>MAX((J5+J16),0)</f>
        <v>0.28547927232278048</v>
      </c>
      <c r="K18" s="21"/>
      <c r="L18" s="21">
        <f>MAX((L5+L16),0)</f>
        <v>0</v>
      </c>
      <c r="M18" s="21"/>
      <c r="N18" s="21">
        <f>MAX((N5+N16),0)</f>
        <v>76.655614363276328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0.21664140279986491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70.600433289906249</v>
      </c>
      <c r="C22" s="23">
        <f ca="1">C18*C20</f>
        <v>0</v>
      </c>
      <c r="D22" s="23">
        <f>D18*D20</f>
        <v>202.51258114535992</v>
      </c>
      <c r="E22" s="23">
        <f>E18*E20</f>
        <v>11.794881530163243</v>
      </c>
      <c r="F22" s="23">
        <f>F18*F20</f>
        <v>39.573889225201647</v>
      </c>
      <c r="G22" s="23"/>
      <c r="H22" s="23"/>
      <c r="I22" s="23"/>
      <c r="J22" s="23">
        <f>J18*J20</f>
        <v>0.10105966240226429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50.898390647482003</v>
      </c>
      <c r="C30" s="39">
        <f>IF(ISERROR(B30*3.6/1000000/'E Balans VL '!Z18*100),0,B30*3.6/1000000/'E Balans VL '!Z18*100)</f>
        <v>5.0082717099616805E-3</v>
      </c>
      <c r="D30" s="239" t="s">
        <v>692</v>
      </c>
    </row>
    <row r="31" spans="1:18">
      <c r="A31" s="6" t="s">
        <v>33</v>
      </c>
      <c r="B31" s="37">
        <f>IF( ISERROR(IND_ander_ele_kWh/1000),0,IND_ander_ele_kWh/1000)</f>
        <v>163.60568334182702</v>
      </c>
      <c r="C31" s="39">
        <f>IF(ISERROR(B31*3.6/1000000/'E Balans VL '!Z19*100),0,B31*3.6/1000000/'E Balans VL '!Z19*100)</f>
        <v>7.124897002568545E-3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111.38207878420999</v>
      </c>
      <c r="C37" s="39">
        <f>IF(ISERROR(B37*3.6/1000000/'E Balans VL '!Z15*100),0,B37*3.6/1000000/'E Balans VL '!Z15*100)</f>
        <v>8.5833572242458175E-4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v>
      </c>
      <c r="C5" s="17">
        <f>'Eigen informatie GS &amp; warmtenet'!B60</f>
        <v>0</v>
      </c>
      <c r="D5" s="30">
        <f>IF(ISERROR(SUM(LB_lb_gas_kWh,LB_rest_gas_kWh,onbekend_gas_kWh)/1000),0,SUM(LB_lb_gas_kWh,LB_rest_gas_kWh,onbekend_gas_kWh)/1000)*0.902</f>
        <v>3393.2892370855984</v>
      </c>
      <c r="E5" s="17">
        <f>B17*'E Balans VL '!I25/3.6*1000000/100</f>
        <v>0.66560004599515099</v>
      </c>
      <c r="F5" s="17">
        <f>B17*('E Balans VL '!L25/3.6*1000000+'E Balans VL '!N25/3.6*1000000)/100</f>
        <v>182.24223220065639</v>
      </c>
      <c r="G5" s="18"/>
      <c r="H5" s="17"/>
      <c r="I5" s="17"/>
      <c r="J5" s="17">
        <f>('E Balans VL '!D25+'E Balans VL '!E25)/3.6*1000000*landbouw!B17/100</f>
        <v>7.9435275634313776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52.82</v>
      </c>
      <c r="C8" s="21">
        <f>C5+C6</f>
        <v>0</v>
      </c>
      <c r="D8" s="21">
        <f>MAX((D5+D6),0)</f>
        <v>3393.2892370855984</v>
      </c>
      <c r="E8" s="21">
        <f>MAX((E5+E6),0)</f>
        <v>0.66560004599515099</v>
      </c>
      <c r="F8" s="21">
        <f>MAX((F5+F6),0)</f>
        <v>182.24223220065639</v>
      </c>
      <c r="G8" s="21"/>
      <c r="H8" s="21"/>
      <c r="I8" s="21"/>
      <c r="J8" s="21">
        <f>MAX((J5+J6),0)</f>
        <v>7.9435275634313776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0.21664140279986491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11.442998895888865</v>
      </c>
      <c r="C12" s="23">
        <f ca="1">C8*C10</f>
        <v>0</v>
      </c>
      <c r="D12" s="23">
        <f>D8*D10</f>
        <v>685.44442589129096</v>
      </c>
      <c r="E12" s="23">
        <f>E8*E10</f>
        <v>0.15109121044089929</v>
      </c>
      <c r="F12" s="23">
        <f>F8*F10</f>
        <v>48.658675997575259</v>
      </c>
      <c r="G12" s="23"/>
      <c r="H12" s="23"/>
      <c r="I12" s="23"/>
      <c r="J12" s="23">
        <f>J8*J10</f>
        <v>2.8120087574547075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7.3667252102348852E-3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0.99399999999999999</v>
      </c>
      <c r="C26" s="249">
        <f>B26*'GWP N2O_CH4'!B5</f>
        <v>20.873999999999999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8.2610000000000003E-2</v>
      </c>
      <c r="C27" s="249">
        <f>B27*'GWP N2O_CH4'!B5</f>
        <v>1.73481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6.2780408771346908E-3</v>
      </c>
      <c r="C28" s="249">
        <f>B28*'GWP N2O_CH4'!B4</f>
        <v>1.9461926719117542</v>
      </c>
      <c r="D28" s="50"/>
    </row>
    <row r="29" spans="1:4">
      <c r="A29" s="41" t="s">
        <v>277</v>
      </c>
      <c r="B29" s="249">
        <f>B34*'ha_N2O bodem landbouw'!B4</f>
        <v>0.59566241556784882</v>
      </c>
      <c r="C29" s="249">
        <f>B29*'GWP N2O_CH4'!B4</f>
        <v>184.65534882603313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1.4873095314231323E-4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1.9907916247296863E-5</v>
      </c>
      <c r="C5" s="448" t="s">
        <v>211</v>
      </c>
      <c r="D5" s="433">
        <f>SUM(D6:D11)</f>
        <v>3.1938310558193045E-5</v>
      </c>
      <c r="E5" s="433">
        <f>SUM(E6:E11)</f>
        <v>1.1533985756538294E-3</v>
      </c>
      <c r="F5" s="446" t="s">
        <v>211</v>
      </c>
      <c r="G5" s="433">
        <f>SUM(G6:G11)</f>
        <v>0.26792680231281124</v>
      </c>
      <c r="H5" s="433">
        <f>SUM(H6:H11)</f>
        <v>4.9355351982962453E-2</v>
      </c>
      <c r="I5" s="448" t="s">
        <v>211</v>
      </c>
      <c r="J5" s="448" t="s">
        <v>211</v>
      </c>
      <c r="K5" s="448" t="s">
        <v>211</v>
      </c>
      <c r="L5" s="448" t="s">
        <v>211</v>
      </c>
      <c r="M5" s="433">
        <f>SUM(M6:M11)</f>
        <v>1.4343754178299596E-2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2.9453373710910244E-6</v>
      </c>
      <c r="C6" s="949"/>
      <c r="D6" s="949">
        <f>vkm_2011_GW_PW*SUMIFS(TableVerdeelsleutelVkm[CNG],TableVerdeelsleutelVkm[Voertuigtype],"Lichte voertuigen")*SUMIFS(TableECFTransport[EnergieConsumptieFactor (PJ per km)],TableECFTransport[Index],CONCATENATE($A6,"_CNG_CNG"))</f>
        <v>4.1711737683576797E-6</v>
      </c>
      <c r="E6" s="949">
        <f>vkm_2011_GW_PW*SUMIFS(TableVerdeelsleutelVkm[LPG],TableVerdeelsleutelVkm[Voertuigtype],"Lichte voertuigen")*SUMIFS(TableECFTransport[EnergieConsumptieFactor (PJ per km)],TableECFTransport[Index],CONCATENATE($A6,"_LPG_LPG"))</f>
        <v>1.3100283619754517E-4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2.3544796789499691E-2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6.3090177553675308E-3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1.3506819611464967E-3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3.1014818397684697E-3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1.1019243453441246E-6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1.3996005991574506E-4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2.5706543545123906E-6</v>
      </c>
      <c r="C8" s="949"/>
      <c r="D8" s="436">
        <f>vkm_2011_NGW_PW*SUMIFS(TableVerdeelsleutelVkm[CNG],TableVerdeelsleutelVkm[Voertuigtype],"Lichte voertuigen")*SUMIFS(TableECFTransport[EnergieConsumptieFactor (PJ per km)],TableECFTransport[Index],CONCATENATE($A8,"_CNG_CNG"))</f>
        <v>6.4857007177865052E-6</v>
      </c>
      <c r="E8" s="436">
        <f>vkm_2011_NGW_PW*SUMIFS(TableVerdeelsleutelVkm[LPG],TableVerdeelsleutelVkm[Voertuigtype],"Lichte voertuigen")*SUMIFS(TableECFTransport[EnergieConsumptieFactor (PJ per km)],TableECFTransport[Index],CONCATENATE($A8,"_LPG_LPG"))</f>
        <v>1.8761673873575737E-4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3.1802856534587906E-2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9.4654968033544978E-3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1.867579181342638E-3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1.075501805292542E-4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3.6159164006653238E-8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4.8533054061554425E-6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1.4391924521693446E-5</v>
      </c>
      <c r="C10" s="949"/>
      <c r="D10" s="436">
        <f>vkm_2011_SW_PW*SUMIFS(TableVerdeelsleutelVkm[CNG],TableVerdeelsleutelVkm[Voertuigtype],"Lichte voertuigen")*SUMIFS(TableECFTransport[EnergieConsumptieFactor (PJ per km)],TableECFTransport[Index],CONCATENATE($A10,"_CNG_CNG"))</f>
        <v>2.1281436072048861E-5</v>
      </c>
      <c r="E10" s="436">
        <f>vkm_2011_SW_PW*SUMIFS(TableVerdeelsleutelVkm[LPG],TableVerdeelsleutelVkm[Voertuigtype],"Lichte voertuigen")*SUMIFS(TableECFTransport[EnergieConsumptieFactor (PJ per km)],TableECFTransport[Index],CONCATENATE($A10,"_LPG_LPG"))</f>
        <v>8.3477900072052684E-4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0.13587748031871075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3.3551541082294481E-2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7.6640959368173868E-3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7.3492636649715171E-2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2.8158258436588899E-5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3.3165837336711738E-3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5.5299767353602398</v>
      </c>
      <c r="C14" s="21"/>
      <c r="D14" s="21">
        <f t="shared" ref="D14:M14" si="0">((D5)*10^9/3600)+D12</f>
        <v>8.8717529328314004</v>
      </c>
      <c r="E14" s="21">
        <f t="shared" si="0"/>
        <v>320.38849323717483</v>
      </c>
      <c r="F14" s="21"/>
      <c r="G14" s="21">
        <f t="shared" si="0"/>
        <v>74424.111753558682</v>
      </c>
      <c r="H14" s="21">
        <f t="shared" si="0"/>
        <v>13709.819995267348</v>
      </c>
      <c r="I14" s="21"/>
      <c r="J14" s="21"/>
      <c r="K14" s="21"/>
      <c r="L14" s="21"/>
      <c r="M14" s="21">
        <f t="shared" si="0"/>
        <v>3984.376160638777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0.21664140279986491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1.1980219173990596</v>
      </c>
      <c r="C18" s="23"/>
      <c r="D18" s="23">
        <f t="shared" ref="D18:M18" si="1">D14*D16</f>
        <v>1.7920940924319431</v>
      </c>
      <c r="E18" s="23">
        <f t="shared" si="1"/>
        <v>72.728187964838682</v>
      </c>
      <c r="F18" s="23"/>
      <c r="G18" s="23">
        <f t="shared" si="1"/>
        <v>19871.23783820017</v>
      </c>
      <c r="H18" s="23">
        <f t="shared" si="1"/>
        <v>3413.7451788215694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2.1103788101043096E-3</v>
      </c>
      <c r="H50" s="323">
        <f t="shared" si="2"/>
        <v>0</v>
      </c>
      <c r="I50" s="323">
        <f t="shared" si="2"/>
        <v>0</v>
      </c>
      <c r="J50" s="323">
        <f t="shared" si="2"/>
        <v>0</v>
      </c>
      <c r="K50" s="323">
        <f t="shared" si="2"/>
        <v>0</v>
      </c>
      <c r="L50" s="323">
        <f t="shared" si="2"/>
        <v>0</v>
      </c>
      <c r="M50" s="323">
        <f t="shared" si="2"/>
        <v>9.3853707495434875E-5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2.1103788101043096E-3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9.3853707495434875E-5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586.21633614008601</v>
      </c>
      <c r="H54" s="21">
        <f t="shared" si="3"/>
        <v>0</v>
      </c>
      <c r="I54" s="21">
        <f t="shared" si="3"/>
        <v>0</v>
      </c>
      <c r="J54" s="21">
        <f t="shared" si="3"/>
        <v>0</v>
      </c>
      <c r="K54" s="21">
        <f t="shared" si="3"/>
        <v>0</v>
      </c>
      <c r="L54" s="21">
        <f t="shared" si="3"/>
        <v>0</v>
      </c>
      <c r="M54" s="21">
        <f t="shared" si="3"/>
        <v>26.070474304287465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0.21664140279986491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156.51976174940299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653.41246140819737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653.41246140819737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10281.220197736739</v>
      </c>
      <c r="D10" s="704">
        <f ca="1">tertiair!C16</f>
        <v>0</v>
      </c>
      <c r="E10" s="704">
        <f ca="1">tertiair!D16</f>
        <v>19169.921583227671</v>
      </c>
      <c r="F10" s="704">
        <f>tertiair!E16</f>
        <v>103.73682934019448</v>
      </c>
      <c r="G10" s="704">
        <f ca="1">tertiair!F16</f>
        <v>1750.3007221755229</v>
      </c>
      <c r="H10" s="704">
        <f>tertiair!G16</f>
        <v>0</v>
      </c>
      <c r="I10" s="704">
        <f>tertiair!H16</f>
        <v>0</v>
      </c>
      <c r="J10" s="704">
        <f>tertiair!I16</f>
        <v>0</v>
      </c>
      <c r="K10" s="704">
        <f>tertiair!J16</f>
        <v>0</v>
      </c>
      <c r="L10" s="704">
        <f>tertiair!K16</f>
        <v>0</v>
      </c>
      <c r="M10" s="704">
        <f ca="1">tertiair!L16</f>
        <v>0</v>
      </c>
      <c r="N10" s="704">
        <f>tertiair!M16</f>
        <v>0</v>
      </c>
      <c r="O10" s="704">
        <f ca="1">tertiair!N16</f>
        <v>712.98603477817937</v>
      </c>
      <c r="P10" s="704">
        <f>tertiair!O16</f>
        <v>0</v>
      </c>
      <c r="Q10" s="705">
        <f>tertiair!P16</f>
        <v>0</v>
      </c>
      <c r="R10" s="707">
        <f ca="1">SUM(C10:Q10)</f>
        <v>32018.165367258309</v>
      </c>
      <c r="S10" s="67"/>
    </row>
    <row r="11" spans="1:19" s="459" customFormat="1">
      <c r="A11" s="858" t="s">
        <v>225</v>
      </c>
      <c r="B11" s="863"/>
      <c r="C11" s="704">
        <f>huishoudens!B8</f>
        <v>22465.422104635196</v>
      </c>
      <c r="D11" s="704">
        <f>huishoudens!C8</f>
        <v>0</v>
      </c>
      <c r="E11" s="704">
        <f>huishoudens!D8</f>
        <v>96587.940139866652</v>
      </c>
      <c r="F11" s="704">
        <f>huishoudens!E8</f>
        <v>2015.4177106913683</v>
      </c>
      <c r="G11" s="704">
        <f>huishoudens!F8</f>
        <v>7755.4858850635264</v>
      </c>
      <c r="H11" s="704">
        <f>huishoudens!G8</f>
        <v>0</v>
      </c>
      <c r="I11" s="704">
        <f>huishoudens!H8</f>
        <v>0</v>
      </c>
      <c r="J11" s="704">
        <f>huishoudens!I8</f>
        <v>0</v>
      </c>
      <c r="K11" s="704">
        <f>huishoudens!J8</f>
        <v>0</v>
      </c>
      <c r="L11" s="704">
        <f>huishoudens!K8</f>
        <v>0</v>
      </c>
      <c r="M11" s="704">
        <f>huishoudens!L8</f>
        <v>0</v>
      </c>
      <c r="N11" s="704">
        <f>huishoudens!M8</f>
        <v>0</v>
      </c>
      <c r="O11" s="704">
        <f>huishoudens!N8</f>
        <v>3078.2296615411792</v>
      </c>
      <c r="P11" s="704">
        <f>huishoudens!O8</f>
        <v>71.913333333333341</v>
      </c>
      <c r="Q11" s="705">
        <f>huishoudens!P8</f>
        <v>152.53333333333333</v>
      </c>
      <c r="R11" s="707">
        <f>SUM(C11:Q11)</f>
        <v>132126.94216846459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325.88615277351903</v>
      </c>
      <c r="D13" s="704">
        <f>industrie!C18</f>
        <v>0</v>
      </c>
      <c r="E13" s="704">
        <f>industrie!D18</f>
        <v>1002.5375304225738</v>
      </c>
      <c r="F13" s="704">
        <f>industrie!E18</f>
        <v>51.959830529353496</v>
      </c>
      <c r="G13" s="704">
        <f>industrie!F18</f>
        <v>148.21681357753425</v>
      </c>
      <c r="H13" s="704">
        <f>industrie!G18</f>
        <v>0</v>
      </c>
      <c r="I13" s="704">
        <f>industrie!H18</f>
        <v>0</v>
      </c>
      <c r="J13" s="704">
        <f>industrie!I18</f>
        <v>0</v>
      </c>
      <c r="K13" s="704">
        <f>industrie!J18</f>
        <v>0.28547927232278048</v>
      </c>
      <c r="L13" s="704">
        <f>industrie!K18</f>
        <v>0</v>
      </c>
      <c r="M13" s="704">
        <f>industrie!L18</f>
        <v>0</v>
      </c>
      <c r="N13" s="704">
        <f>industrie!M18</f>
        <v>0</v>
      </c>
      <c r="O13" s="704">
        <f>industrie!N18</f>
        <v>76.655614363276328</v>
      </c>
      <c r="P13" s="704">
        <f>industrie!O18</f>
        <v>0</v>
      </c>
      <c r="Q13" s="705">
        <f>industrie!P18</f>
        <v>0</v>
      </c>
      <c r="R13" s="707">
        <f>SUM(C13:Q13)</f>
        <v>1605.5414209385797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33072.528455145453</v>
      </c>
      <c r="D15" s="709">
        <f t="shared" ref="D15:Q15" ca="1" si="0">SUM(D9:D14)</f>
        <v>0</v>
      </c>
      <c r="E15" s="709">
        <f t="shared" ca="1" si="0"/>
        <v>116760.39925351689</v>
      </c>
      <c r="F15" s="709">
        <f t="shared" si="0"/>
        <v>2171.1143705609161</v>
      </c>
      <c r="G15" s="709">
        <f t="shared" ca="1" si="0"/>
        <v>9654.0034208165835</v>
      </c>
      <c r="H15" s="709">
        <f t="shared" si="0"/>
        <v>0</v>
      </c>
      <c r="I15" s="709">
        <f t="shared" si="0"/>
        <v>0</v>
      </c>
      <c r="J15" s="709">
        <f t="shared" si="0"/>
        <v>0</v>
      </c>
      <c r="K15" s="709">
        <f t="shared" si="0"/>
        <v>0.28547927232278048</v>
      </c>
      <c r="L15" s="709">
        <f t="shared" si="0"/>
        <v>0</v>
      </c>
      <c r="M15" s="709">
        <f t="shared" ca="1" si="0"/>
        <v>0</v>
      </c>
      <c r="N15" s="709">
        <f t="shared" si="0"/>
        <v>0</v>
      </c>
      <c r="O15" s="709">
        <f t="shared" ca="1" si="0"/>
        <v>3867.8713106826349</v>
      </c>
      <c r="P15" s="709">
        <f t="shared" si="0"/>
        <v>71.913333333333341</v>
      </c>
      <c r="Q15" s="710">
        <f t="shared" si="0"/>
        <v>152.53333333333333</v>
      </c>
      <c r="R15" s="711">
        <f ca="1">SUM(R9:R14)</f>
        <v>165750.64895666149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586.21633614008601</v>
      </c>
      <c r="I18" s="704">
        <f>transport!H54</f>
        <v>0</v>
      </c>
      <c r="J18" s="704">
        <f>transport!I54</f>
        <v>0</v>
      </c>
      <c r="K18" s="704">
        <f>transport!J54</f>
        <v>0</v>
      </c>
      <c r="L18" s="704">
        <f>transport!K54</f>
        <v>0</v>
      </c>
      <c r="M18" s="704">
        <f>transport!L54</f>
        <v>0</v>
      </c>
      <c r="N18" s="704">
        <f>transport!M54</f>
        <v>26.070474304287465</v>
      </c>
      <c r="O18" s="704">
        <f>transport!N54</f>
        <v>0</v>
      </c>
      <c r="P18" s="704">
        <f>transport!O54</f>
        <v>0</v>
      </c>
      <c r="Q18" s="705">
        <f>transport!P54</f>
        <v>0</v>
      </c>
      <c r="R18" s="707">
        <f>SUM(C18:Q18)</f>
        <v>612.28681044437349</v>
      </c>
      <c r="S18" s="67"/>
    </row>
    <row r="19" spans="1:19" s="459" customFormat="1" ht="15" thickBot="1">
      <c r="A19" s="858" t="s">
        <v>307</v>
      </c>
      <c r="B19" s="863"/>
      <c r="C19" s="713">
        <f>transport!B14</f>
        <v>5.5299767353602398</v>
      </c>
      <c r="D19" s="713">
        <f>transport!C14</f>
        <v>0</v>
      </c>
      <c r="E19" s="713">
        <f>transport!D14</f>
        <v>8.8717529328314004</v>
      </c>
      <c r="F19" s="713">
        <f>transport!E14</f>
        <v>320.38849323717483</v>
      </c>
      <c r="G19" s="713">
        <f>transport!F14</f>
        <v>0</v>
      </c>
      <c r="H19" s="713">
        <f>transport!G14</f>
        <v>74424.111753558682</v>
      </c>
      <c r="I19" s="713">
        <f>transport!H14</f>
        <v>13709.819995267348</v>
      </c>
      <c r="J19" s="713">
        <f>transport!I14</f>
        <v>0</v>
      </c>
      <c r="K19" s="713">
        <f>transport!J14</f>
        <v>0</v>
      </c>
      <c r="L19" s="713">
        <f>transport!K14</f>
        <v>0</v>
      </c>
      <c r="M19" s="713">
        <f>transport!L14</f>
        <v>0</v>
      </c>
      <c r="N19" s="713">
        <f>transport!M14</f>
        <v>3984.376160638777</v>
      </c>
      <c r="O19" s="713">
        <f>transport!N14</f>
        <v>0</v>
      </c>
      <c r="P19" s="713">
        <f>transport!O14</f>
        <v>0</v>
      </c>
      <c r="Q19" s="714">
        <f>transport!P14</f>
        <v>0</v>
      </c>
      <c r="R19" s="715">
        <f>SUM(C19:Q19)</f>
        <v>92453.098132370171</v>
      </c>
      <c r="S19" s="67"/>
    </row>
    <row r="20" spans="1:19" s="459" customFormat="1" ht="15.75" thickBot="1">
      <c r="A20" s="716" t="s">
        <v>230</v>
      </c>
      <c r="B20" s="866"/>
      <c r="C20" s="861">
        <f>SUM(C17:C19)</f>
        <v>5.5299767353602398</v>
      </c>
      <c r="D20" s="717">
        <f t="shared" ref="D20:R20" si="1">SUM(D17:D19)</f>
        <v>0</v>
      </c>
      <c r="E20" s="717">
        <f t="shared" si="1"/>
        <v>8.8717529328314004</v>
      </c>
      <c r="F20" s="717">
        <f t="shared" si="1"/>
        <v>320.38849323717483</v>
      </c>
      <c r="G20" s="717">
        <f t="shared" si="1"/>
        <v>0</v>
      </c>
      <c r="H20" s="717">
        <f t="shared" si="1"/>
        <v>75010.328089698771</v>
      </c>
      <c r="I20" s="717">
        <f t="shared" si="1"/>
        <v>13709.819995267348</v>
      </c>
      <c r="J20" s="717">
        <f t="shared" si="1"/>
        <v>0</v>
      </c>
      <c r="K20" s="717">
        <f t="shared" si="1"/>
        <v>0</v>
      </c>
      <c r="L20" s="717">
        <f t="shared" si="1"/>
        <v>0</v>
      </c>
      <c r="M20" s="717">
        <f t="shared" si="1"/>
        <v>0</v>
      </c>
      <c r="N20" s="717">
        <f t="shared" si="1"/>
        <v>4010.4466349430645</v>
      </c>
      <c r="O20" s="717">
        <f t="shared" si="1"/>
        <v>0</v>
      </c>
      <c r="P20" s="717">
        <f t="shared" si="1"/>
        <v>0</v>
      </c>
      <c r="Q20" s="718">
        <f t="shared" si="1"/>
        <v>0</v>
      </c>
      <c r="R20" s="719">
        <f t="shared" si="1"/>
        <v>93065.384942814548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52.82</v>
      </c>
      <c r="D22" s="713">
        <f>+landbouw!C8</f>
        <v>0</v>
      </c>
      <c r="E22" s="713">
        <f>+landbouw!D8</f>
        <v>3393.2892370855984</v>
      </c>
      <c r="F22" s="713">
        <f>+landbouw!E8</f>
        <v>0.66560004599515099</v>
      </c>
      <c r="G22" s="713">
        <f>+landbouw!F8</f>
        <v>182.24223220065639</v>
      </c>
      <c r="H22" s="713">
        <f>+landbouw!G8</f>
        <v>0</v>
      </c>
      <c r="I22" s="713">
        <f>+landbouw!H8</f>
        <v>0</v>
      </c>
      <c r="J22" s="713">
        <f>+landbouw!I8</f>
        <v>0</v>
      </c>
      <c r="K22" s="713">
        <f>+landbouw!J8</f>
        <v>7.9435275634313776</v>
      </c>
      <c r="L22" s="713">
        <f>+landbouw!K8</f>
        <v>0</v>
      </c>
      <c r="M22" s="713">
        <f>+landbouw!L8</f>
        <v>0</v>
      </c>
      <c r="N22" s="713">
        <f>+landbouw!M8</f>
        <v>0</v>
      </c>
      <c r="O22" s="713">
        <f>+landbouw!N8</f>
        <v>0</v>
      </c>
      <c r="P22" s="713">
        <f>+landbouw!O8</f>
        <v>0</v>
      </c>
      <c r="Q22" s="714">
        <f>+landbouw!P8</f>
        <v>0</v>
      </c>
      <c r="R22" s="715">
        <f>SUM(C22:Q22)</f>
        <v>3636.9605968956816</v>
      </c>
      <c r="S22" s="67"/>
    </row>
    <row r="23" spans="1:19" s="459" customFormat="1" ht="17.25" thickTop="1" thickBot="1">
      <c r="A23" s="720" t="s">
        <v>116</v>
      </c>
      <c r="B23" s="852"/>
      <c r="C23" s="721">
        <f ca="1">C20+C15+C22</f>
        <v>33130.87843188081</v>
      </c>
      <c r="D23" s="721">
        <f t="shared" ref="D23:Q23" ca="1" si="2">D20+D15+D22</f>
        <v>0</v>
      </c>
      <c r="E23" s="721">
        <f t="shared" ca="1" si="2"/>
        <v>120162.56024353532</v>
      </c>
      <c r="F23" s="721">
        <f t="shared" si="2"/>
        <v>2492.1684638440861</v>
      </c>
      <c r="G23" s="721">
        <f t="shared" ca="1" si="2"/>
        <v>9836.2456530172403</v>
      </c>
      <c r="H23" s="721">
        <f t="shared" si="2"/>
        <v>75010.328089698771</v>
      </c>
      <c r="I23" s="721">
        <f t="shared" si="2"/>
        <v>13709.819995267348</v>
      </c>
      <c r="J23" s="721">
        <f t="shared" si="2"/>
        <v>0</v>
      </c>
      <c r="K23" s="721">
        <f t="shared" si="2"/>
        <v>8.2290068357541575</v>
      </c>
      <c r="L23" s="721">
        <f t="shared" si="2"/>
        <v>0</v>
      </c>
      <c r="M23" s="721">
        <f t="shared" ca="1" si="2"/>
        <v>0</v>
      </c>
      <c r="N23" s="721">
        <f t="shared" si="2"/>
        <v>4010.4466349430645</v>
      </c>
      <c r="O23" s="721">
        <f t="shared" ca="1" si="2"/>
        <v>3867.8713106826349</v>
      </c>
      <c r="P23" s="721">
        <f t="shared" si="2"/>
        <v>71.913333333333341</v>
      </c>
      <c r="Q23" s="722">
        <f t="shared" si="2"/>
        <v>152.53333333333333</v>
      </c>
      <c r="R23" s="723">
        <f ca="1">R20+R15+R22</f>
        <v>262452.99449637171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2227.3379661319914</v>
      </c>
      <c r="D36" s="704">
        <f ca="1">tertiair!C20</f>
        <v>0</v>
      </c>
      <c r="E36" s="704">
        <f ca="1">tertiair!D20</f>
        <v>3872.3241598119898</v>
      </c>
      <c r="F36" s="704">
        <f>tertiair!E20</f>
        <v>23.548260260224147</v>
      </c>
      <c r="G36" s="704">
        <f ca="1">tertiair!F20</f>
        <v>467.33029282086466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6590.5406790250709</v>
      </c>
    </row>
    <row r="37" spans="1:18">
      <c r="A37" s="873" t="s">
        <v>225</v>
      </c>
      <c r="B37" s="880"/>
      <c r="C37" s="704">
        <f ca="1">huishoudens!B12</f>
        <v>4866.9405592392623</v>
      </c>
      <c r="D37" s="704">
        <f ca="1">huishoudens!C12</f>
        <v>0</v>
      </c>
      <c r="E37" s="704">
        <f>huishoudens!D12</f>
        <v>19510.763908253066</v>
      </c>
      <c r="F37" s="704">
        <f>huishoudens!E12</f>
        <v>457.49982032694061</v>
      </c>
      <c r="G37" s="704">
        <f>huishoudens!F12</f>
        <v>2070.7147313119617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26905.919019131226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70.600433289906249</v>
      </c>
      <c r="D39" s="704">
        <f ca="1">industrie!C22</f>
        <v>0</v>
      </c>
      <c r="E39" s="704">
        <f>industrie!D22</f>
        <v>202.51258114535992</v>
      </c>
      <c r="F39" s="704">
        <f>industrie!E22</f>
        <v>11.794881530163243</v>
      </c>
      <c r="G39" s="704">
        <f>industrie!F22</f>
        <v>39.573889225201647</v>
      </c>
      <c r="H39" s="704">
        <f>industrie!G22</f>
        <v>0</v>
      </c>
      <c r="I39" s="704">
        <f>industrie!H22</f>
        <v>0</v>
      </c>
      <c r="J39" s="704">
        <f>industrie!I22</f>
        <v>0</v>
      </c>
      <c r="K39" s="704">
        <f>industrie!J22</f>
        <v>0.10105966240226429</v>
      </c>
      <c r="L39" s="704">
        <f>industrie!K22</f>
        <v>0</v>
      </c>
      <c r="M39" s="704">
        <f>industrie!L22</f>
        <v>0</v>
      </c>
      <c r="N39" s="704">
        <f>industrie!M22</f>
        <v>0</v>
      </c>
      <c r="O39" s="704">
        <f>industrie!N22</f>
        <v>0</v>
      </c>
      <c r="P39" s="704">
        <f>industrie!O22</f>
        <v>0</v>
      </c>
      <c r="Q39" s="814">
        <f>industrie!P22</f>
        <v>0</v>
      </c>
      <c r="R39" s="906">
        <f ca="1">SUM(C39:Q39)</f>
        <v>324.58284485303335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7164.8789586611601</v>
      </c>
      <c r="D41" s="749">
        <f t="shared" ref="D41:R41" ca="1" si="4">SUM(D35:D40)</f>
        <v>0</v>
      </c>
      <c r="E41" s="749">
        <f t="shared" ca="1" si="4"/>
        <v>23585.600649210413</v>
      </c>
      <c r="F41" s="749">
        <f t="shared" si="4"/>
        <v>492.842962117328</v>
      </c>
      <c r="G41" s="749">
        <f t="shared" ca="1" si="4"/>
        <v>2577.6189133580278</v>
      </c>
      <c r="H41" s="749">
        <f t="shared" si="4"/>
        <v>0</v>
      </c>
      <c r="I41" s="749">
        <f t="shared" si="4"/>
        <v>0</v>
      </c>
      <c r="J41" s="749">
        <f t="shared" si="4"/>
        <v>0</v>
      </c>
      <c r="K41" s="749">
        <f t="shared" si="4"/>
        <v>0.10105966240226429</v>
      </c>
      <c r="L41" s="749">
        <f t="shared" si="4"/>
        <v>0</v>
      </c>
      <c r="M41" s="749">
        <f t="shared" ca="1" si="4"/>
        <v>0</v>
      </c>
      <c r="N41" s="749">
        <f t="shared" si="4"/>
        <v>0</v>
      </c>
      <c r="O41" s="749">
        <f t="shared" ca="1" si="4"/>
        <v>0</v>
      </c>
      <c r="P41" s="749">
        <f t="shared" si="4"/>
        <v>0</v>
      </c>
      <c r="Q41" s="750">
        <f t="shared" si="4"/>
        <v>0</v>
      </c>
      <c r="R41" s="751">
        <f t="shared" ca="1" si="4"/>
        <v>33821.042543009324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156.51976174940299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156.51976174940299</v>
      </c>
    </row>
    <row r="45" spans="1:18" ht="15" thickBot="1">
      <c r="A45" s="876" t="s">
        <v>307</v>
      </c>
      <c r="B45" s="886"/>
      <c r="C45" s="713">
        <f ca="1">transport!B18</f>
        <v>1.1980219173990596</v>
      </c>
      <c r="D45" s="713">
        <f>transport!C18</f>
        <v>0</v>
      </c>
      <c r="E45" s="713">
        <f>transport!D18</f>
        <v>1.7920940924319431</v>
      </c>
      <c r="F45" s="713">
        <f>transport!E18</f>
        <v>72.728187964838682</v>
      </c>
      <c r="G45" s="713">
        <f>transport!F18</f>
        <v>0</v>
      </c>
      <c r="H45" s="713">
        <f>transport!G18</f>
        <v>19871.23783820017</v>
      </c>
      <c r="I45" s="713">
        <f>transport!H18</f>
        <v>3413.7451788215694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23360.70132099641</v>
      </c>
    </row>
    <row r="46" spans="1:18" ht="15.75" thickBot="1">
      <c r="A46" s="874" t="s">
        <v>230</v>
      </c>
      <c r="B46" s="887"/>
      <c r="C46" s="749">
        <f t="shared" ref="C46:R46" ca="1" si="5">SUM(C43:C45)</f>
        <v>1.1980219173990596</v>
      </c>
      <c r="D46" s="749">
        <f t="shared" ca="1" si="5"/>
        <v>0</v>
      </c>
      <c r="E46" s="749">
        <f t="shared" si="5"/>
        <v>1.7920940924319431</v>
      </c>
      <c r="F46" s="749">
        <f t="shared" si="5"/>
        <v>72.728187964838682</v>
      </c>
      <c r="G46" s="749">
        <f t="shared" si="5"/>
        <v>0</v>
      </c>
      <c r="H46" s="749">
        <f t="shared" si="5"/>
        <v>20027.757599949571</v>
      </c>
      <c r="I46" s="749">
        <f t="shared" si="5"/>
        <v>3413.7451788215694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23517.221082745811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11.442998895888865</v>
      </c>
      <c r="D48" s="704">
        <f ca="1">+landbouw!C12</f>
        <v>0</v>
      </c>
      <c r="E48" s="704">
        <f>+landbouw!D12</f>
        <v>685.44442589129096</v>
      </c>
      <c r="F48" s="704">
        <f>+landbouw!E12</f>
        <v>0.15109121044089929</v>
      </c>
      <c r="G48" s="704">
        <f>+landbouw!F12</f>
        <v>48.658675997575259</v>
      </c>
      <c r="H48" s="704">
        <f>+landbouw!G12</f>
        <v>0</v>
      </c>
      <c r="I48" s="704">
        <f>+landbouw!H12</f>
        <v>0</v>
      </c>
      <c r="J48" s="704">
        <f>+landbouw!I12</f>
        <v>0</v>
      </c>
      <c r="K48" s="704">
        <f>+landbouw!J12</f>
        <v>2.8120087574547075</v>
      </c>
      <c r="L48" s="704">
        <f>+landbouw!K12</f>
        <v>0</v>
      </c>
      <c r="M48" s="704">
        <f>+landbouw!L12</f>
        <v>0</v>
      </c>
      <c r="N48" s="704">
        <f>+landbouw!M12</f>
        <v>0</v>
      </c>
      <c r="O48" s="704">
        <f>+landbouw!N12</f>
        <v>0</v>
      </c>
      <c r="P48" s="704">
        <f>+landbouw!O12</f>
        <v>0</v>
      </c>
      <c r="Q48" s="705">
        <f>+landbouw!P12</f>
        <v>0</v>
      </c>
      <c r="R48" s="747">
        <f ca="1">SUM(C48:Q48)</f>
        <v>748.50920075265071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7177.5199794744485</v>
      </c>
      <c r="D53" s="759">
        <f t="shared" ref="D53:Q53" ca="1" si="6">D41+D46+D48</f>
        <v>0</v>
      </c>
      <c r="E53" s="759">
        <f t="shared" ca="1" si="6"/>
        <v>24272.837169194136</v>
      </c>
      <c r="F53" s="759">
        <f t="shared" si="6"/>
        <v>565.72224129260758</v>
      </c>
      <c r="G53" s="759">
        <f t="shared" ca="1" si="6"/>
        <v>2626.2775893556031</v>
      </c>
      <c r="H53" s="759">
        <f t="shared" si="6"/>
        <v>20027.757599949571</v>
      </c>
      <c r="I53" s="759">
        <f t="shared" si="6"/>
        <v>3413.7451788215694</v>
      </c>
      <c r="J53" s="759">
        <f t="shared" si="6"/>
        <v>0</v>
      </c>
      <c r="K53" s="759">
        <f t="shared" si="6"/>
        <v>2.9130684198569718</v>
      </c>
      <c r="L53" s="759">
        <f t="shared" si="6"/>
        <v>0</v>
      </c>
      <c r="M53" s="759">
        <f t="shared" ca="1" si="6"/>
        <v>0</v>
      </c>
      <c r="N53" s="759">
        <f t="shared" si="6"/>
        <v>0</v>
      </c>
      <c r="O53" s="759">
        <f t="shared" ca="1" si="6"/>
        <v>0</v>
      </c>
      <c r="P53" s="759">
        <f>P41+P46+P48</f>
        <v>0</v>
      </c>
      <c r="Q53" s="760">
        <f t="shared" si="6"/>
        <v>0</v>
      </c>
      <c r="R53" s="761">
        <f ca="1">R41+R46+R48</f>
        <v>58086.772826507782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0.21664140279986493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653.41246140819737</v>
      </c>
      <c r="C66" s="781">
        <f>'lokale energieproductie'!B6</f>
        <v>653.41246140819737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653.41246140819737</v>
      </c>
      <c r="C69" s="789">
        <f>SUM(C64:C68)</f>
        <v>653.41246140819737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22465.422104635196</v>
      </c>
      <c r="C4" s="463">
        <f>huishoudens!C8</f>
        <v>0</v>
      </c>
      <c r="D4" s="463">
        <f>huishoudens!D8</f>
        <v>96587.940139866652</v>
      </c>
      <c r="E4" s="463">
        <f>huishoudens!E8</f>
        <v>2015.4177106913683</v>
      </c>
      <c r="F4" s="463">
        <f>huishoudens!F8</f>
        <v>7755.4858850635264</v>
      </c>
      <c r="G4" s="463">
        <f>huishoudens!G8</f>
        <v>0</v>
      </c>
      <c r="H4" s="463">
        <f>huishoudens!H8</f>
        <v>0</v>
      </c>
      <c r="I4" s="463">
        <f>huishoudens!I8</f>
        <v>0</v>
      </c>
      <c r="J4" s="463">
        <f>huishoudens!J8</f>
        <v>0</v>
      </c>
      <c r="K4" s="463">
        <f>huishoudens!K8</f>
        <v>0</v>
      </c>
      <c r="L4" s="463">
        <f>huishoudens!L8</f>
        <v>0</v>
      </c>
      <c r="M4" s="463">
        <f>huishoudens!M8</f>
        <v>0</v>
      </c>
      <c r="N4" s="463">
        <f>huishoudens!N8</f>
        <v>3078.2296615411792</v>
      </c>
      <c r="O4" s="463">
        <f>huishoudens!O8</f>
        <v>71.913333333333341</v>
      </c>
      <c r="P4" s="464">
        <f>huishoudens!P8</f>
        <v>152.53333333333333</v>
      </c>
      <c r="Q4" s="465">
        <f>SUM(B4:P4)</f>
        <v>132126.94216846459</v>
      </c>
    </row>
    <row r="5" spans="1:17">
      <c r="A5" s="462" t="s">
        <v>156</v>
      </c>
      <c r="B5" s="463">
        <f ca="1">tertiair!B16</f>
        <v>9273.0841977367381</v>
      </c>
      <c r="C5" s="463">
        <f ca="1">tertiair!C16</f>
        <v>0</v>
      </c>
      <c r="D5" s="463">
        <f ca="1">tertiair!D16</f>
        <v>19169.921583227671</v>
      </c>
      <c r="E5" s="463">
        <f>tertiair!E16</f>
        <v>103.73682934019448</v>
      </c>
      <c r="F5" s="463">
        <f ca="1">tertiair!F16</f>
        <v>1750.3007221755229</v>
      </c>
      <c r="G5" s="463">
        <f>tertiair!G16</f>
        <v>0</v>
      </c>
      <c r="H5" s="463">
        <f>tertiair!H16</f>
        <v>0</v>
      </c>
      <c r="I5" s="463">
        <f>tertiair!I16</f>
        <v>0</v>
      </c>
      <c r="J5" s="463">
        <f>tertiair!J16</f>
        <v>0</v>
      </c>
      <c r="K5" s="463">
        <f>tertiair!K16</f>
        <v>0</v>
      </c>
      <c r="L5" s="463">
        <f ca="1">tertiair!L16</f>
        <v>0</v>
      </c>
      <c r="M5" s="463">
        <f>tertiair!M16</f>
        <v>0</v>
      </c>
      <c r="N5" s="463">
        <f ca="1">tertiair!N16</f>
        <v>712.98603477817937</v>
      </c>
      <c r="O5" s="463">
        <f>tertiair!O16</f>
        <v>0</v>
      </c>
      <c r="P5" s="464">
        <f>tertiair!P16</f>
        <v>0</v>
      </c>
      <c r="Q5" s="462">
        <f t="shared" ref="Q5:Q13" ca="1" si="0">SUM(B5:P5)</f>
        <v>31010.029367258307</v>
      </c>
    </row>
    <row r="6" spans="1:17">
      <c r="A6" s="462" t="s">
        <v>194</v>
      </c>
      <c r="B6" s="463">
        <f>'openbare verlichting'!B8</f>
        <v>1008.136</v>
      </c>
      <c r="C6" s="463"/>
      <c r="D6" s="463"/>
      <c r="E6" s="463"/>
      <c r="F6" s="463"/>
      <c r="G6" s="463"/>
      <c r="H6" s="463"/>
      <c r="I6" s="463"/>
      <c r="J6" s="463"/>
      <c r="K6" s="463"/>
      <c r="L6" s="463"/>
      <c r="M6" s="463"/>
      <c r="N6" s="463"/>
      <c r="O6" s="463"/>
      <c r="P6" s="464"/>
      <c r="Q6" s="462">
        <f t="shared" si="0"/>
        <v>1008.136</v>
      </c>
    </row>
    <row r="7" spans="1:17">
      <c r="A7" s="462" t="s">
        <v>112</v>
      </c>
      <c r="B7" s="463">
        <f>landbouw!B8</f>
        <v>52.82</v>
      </c>
      <c r="C7" s="463">
        <f>landbouw!C8</f>
        <v>0</v>
      </c>
      <c r="D7" s="463">
        <f>landbouw!D8</f>
        <v>3393.2892370855984</v>
      </c>
      <c r="E7" s="463">
        <f>landbouw!E8</f>
        <v>0.66560004599515099</v>
      </c>
      <c r="F7" s="463">
        <f>landbouw!F8</f>
        <v>182.24223220065639</v>
      </c>
      <c r="G7" s="463">
        <f>landbouw!G8</f>
        <v>0</v>
      </c>
      <c r="H7" s="463">
        <f>landbouw!H8</f>
        <v>0</v>
      </c>
      <c r="I7" s="463">
        <f>landbouw!I8</f>
        <v>0</v>
      </c>
      <c r="J7" s="463">
        <f>landbouw!J8</f>
        <v>7.9435275634313776</v>
      </c>
      <c r="K7" s="463">
        <f>landbouw!K8</f>
        <v>0</v>
      </c>
      <c r="L7" s="463">
        <f>landbouw!L8</f>
        <v>0</v>
      </c>
      <c r="M7" s="463">
        <f>landbouw!M8</f>
        <v>0</v>
      </c>
      <c r="N7" s="463">
        <f>landbouw!N8</f>
        <v>0</v>
      </c>
      <c r="O7" s="463">
        <f>landbouw!O8</f>
        <v>0</v>
      </c>
      <c r="P7" s="464">
        <f>landbouw!P8</f>
        <v>0</v>
      </c>
      <c r="Q7" s="462">
        <f t="shared" si="0"/>
        <v>3636.9605968956816</v>
      </c>
    </row>
    <row r="8" spans="1:17">
      <c r="A8" s="462" t="s">
        <v>657</v>
      </c>
      <c r="B8" s="463">
        <f>industrie!B18</f>
        <v>325.88615277351903</v>
      </c>
      <c r="C8" s="463">
        <f>industrie!C18</f>
        <v>0</v>
      </c>
      <c r="D8" s="463">
        <f>industrie!D18</f>
        <v>1002.5375304225738</v>
      </c>
      <c r="E8" s="463">
        <f>industrie!E18</f>
        <v>51.959830529353496</v>
      </c>
      <c r="F8" s="463">
        <f>industrie!F18</f>
        <v>148.21681357753425</v>
      </c>
      <c r="G8" s="463">
        <f>industrie!G18</f>
        <v>0</v>
      </c>
      <c r="H8" s="463">
        <f>industrie!H18</f>
        <v>0</v>
      </c>
      <c r="I8" s="463">
        <f>industrie!I18</f>
        <v>0</v>
      </c>
      <c r="J8" s="463">
        <f>industrie!J18</f>
        <v>0.28547927232278048</v>
      </c>
      <c r="K8" s="463">
        <f>industrie!K18</f>
        <v>0</v>
      </c>
      <c r="L8" s="463">
        <f>industrie!L18</f>
        <v>0</v>
      </c>
      <c r="M8" s="463">
        <f>industrie!M18</f>
        <v>0</v>
      </c>
      <c r="N8" s="463">
        <f>industrie!N18</f>
        <v>76.655614363276328</v>
      </c>
      <c r="O8" s="463">
        <f>industrie!O18</f>
        <v>0</v>
      </c>
      <c r="P8" s="464">
        <f>industrie!P18</f>
        <v>0</v>
      </c>
      <c r="Q8" s="462">
        <f t="shared" si="0"/>
        <v>1605.5414209385797</v>
      </c>
    </row>
    <row r="9" spans="1:17" s="468" customFormat="1">
      <c r="A9" s="466" t="s">
        <v>574</v>
      </c>
      <c r="B9" s="467">
        <f>transport!B14</f>
        <v>5.5299767353602398</v>
      </c>
      <c r="C9" s="467"/>
      <c r="D9" s="467">
        <f>transport!D14</f>
        <v>8.8717529328314004</v>
      </c>
      <c r="E9" s="467">
        <f>transport!E14</f>
        <v>320.38849323717483</v>
      </c>
      <c r="F9" s="467"/>
      <c r="G9" s="467">
        <f>transport!G14</f>
        <v>74424.111753558682</v>
      </c>
      <c r="H9" s="467">
        <f>transport!H14</f>
        <v>13709.819995267348</v>
      </c>
      <c r="I9" s="467"/>
      <c r="J9" s="467"/>
      <c r="K9" s="467"/>
      <c r="L9" s="467"/>
      <c r="M9" s="467">
        <f>transport!M14</f>
        <v>3984.376160638777</v>
      </c>
      <c r="N9" s="467"/>
      <c r="O9" s="467"/>
      <c r="P9" s="467"/>
      <c r="Q9" s="466">
        <f>SUM(B9:P9)</f>
        <v>92453.098132370171</v>
      </c>
    </row>
    <row r="10" spans="1:17">
      <c r="A10" s="462" t="s">
        <v>564</v>
      </c>
      <c r="B10" s="463">
        <f>transport!B54</f>
        <v>0</v>
      </c>
      <c r="C10" s="463"/>
      <c r="D10" s="463">
        <f>transport!D54</f>
        <v>0</v>
      </c>
      <c r="E10" s="463"/>
      <c r="F10" s="463"/>
      <c r="G10" s="463">
        <f>transport!G54</f>
        <v>586.21633614008601</v>
      </c>
      <c r="H10" s="463"/>
      <c r="I10" s="463"/>
      <c r="J10" s="463"/>
      <c r="K10" s="463"/>
      <c r="L10" s="463"/>
      <c r="M10" s="463">
        <f>transport!M54</f>
        <v>26.070474304287465</v>
      </c>
      <c r="N10" s="463"/>
      <c r="O10" s="463"/>
      <c r="P10" s="464"/>
      <c r="Q10" s="462">
        <f t="shared" si="0"/>
        <v>612.28681044437349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33130.87843188081</v>
      </c>
      <c r="C14" s="473">
        <f t="shared" ref="C14:Q14" ca="1" si="1">SUM(C4:C13)</f>
        <v>0</v>
      </c>
      <c r="D14" s="473">
        <f t="shared" ca="1" si="1"/>
        <v>120162.56024353532</v>
      </c>
      <c r="E14" s="473">
        <f t="shared" si="1"/>
        <v>2492.1684638440861</v>
      </c>
      <c r="F14" s="473">
        <f t="shared" ca="1" si="1"/>
        <v>9836.2456530172403</v>
      </c>
      <c r="G14" s="473">
        <f t="shared" si="1"/>
        <v>75010.328089698771</v>
      </c>
      <c r="H14" s="473">
        <f t="shared" si="1"/>
        <v>13709.819995267348</v>
      </c>
      <c r="I14" s="473">
        <f t="shared" si="1"/>
        <v>0</v>
      </c>
      <c r="J14" s="473">
        <f t="shared" si="1"/>
        <v>8.2290068357541575</v>
      </c>
      <c r="K14" s="473">
        <f t="shared" si="1"/>
        <v>0</v>
      </c>
      <c r="L14" s="473">
        <f t="shared" ca="1" si="1"/>
        <v>0</v>
      </c>
      <c r="M14" s="473">
        <f t="shared" si="1"/>
        <v>4010.4466349430645</v>
      </c>
      <c r="N14" s="473">
        <f t="shared" ca="1" si="1"/>
        <v>3867.8713106826349</v>
      </c>
      <c r="O14" s="473">
        <f t="shared" si="1"/>
        <v>71.913333333333341</v>
      </c>
      <c r="P14" s="474">
        <f t="shared" si="1"/>
        <v>152.53333333333333</v>
      </c>
      <c r="Q14" s="474">
        <f t="shared" ca="1" si="1"/>
        <v>262452.99449637171</v>
      </c>
    </row>
    <row r="16" spans="1:17">
      <c r="A16" s="476" t="s">
        <v>569</v>
      </c>
      <c r="B16" s="829">
        <f ca="1">huishoudens!B10</f>
        <v>0.21664140279986491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4866.9405592392623</v>
      </c>
      <c r="C21" s="463">
        <f t="shared" ref="C21:C28" ca="1" si="3">C4*$C$16</f>
        <v>0</v>
      </c>
      <c r="D21" s="463">
        <f t="shared" ref="D21:D30" si="4">D4*$D$16</f>
        <v>19510.763908253066</v>
      </c>
      <c r="E21" s="463">
        <f t="shared" ref="E21:E30" si="5">E4*$E$16</f>
        <v>457.49982032694061</v>
      </c>
      <c r="F21" s="463">
        <f t="shared" ref="F21:F28" si="6">F4*$F$16</f>
        <v>2070.7147313119617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26905.919019131226</v>
      </c>
    </row>
    <row r="22" spans="1:17">
      <c r="A22" s="462" t="s">
        <v>156</v>
      </c>
      <c r="B22" s="463">
        <f t="shared" ca="1" si="2"/>
        <v>2008.9339688789469</v>
      </c>
      <c r="C22" s="463">
        <f t="shared" ca="1" si="3"/>
        <v>0</v>
      </c>
      <c r="D22" s="463">
        <f t="shared" ca="1" si="4"/>
        <v>3872.3241598119898</v>
      </c>
      <c r="E22" s="463">
        <f t="shared" si="5"/>
        <v>23.548260260224147</v>
      </c>
      <c r="F22" s="463">
        <f t="shared" ca="1" si="6"/>
        <v>467.33029282086466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6372.1366817720263</v>
      </c>
    </row>
    <row r="23" spans="1:17">
      <c r="A23" s="462" t="s">
        <v>194</v>
      </c>
      <c r="B23" s="463">
        <f t="shared" ca="1" si="2"/>
        <v>218.40399725304459</v>
      </c>
      <c r="C23" s="463"/>
      <c r="D23" s="463"/>
      <c r="E23" s="463"/>
      <c r="F23" s="463"/>
      <c r="G23" s="463"/>
      <c r="H23" s="463"/>
      <c r="I23" s="463"/>
      <c r="J23" s="463"/>
      <c r="K23" s="463"/>
      <c r="L23" s="463"/>
      <c r="M23" s="463"/>
      <c r="N23" s="463"/>
      <c r="O23" s="463"/>
      <c r="P23" s="464"/>
      <c r="Q23" s="462">
        <f t="shared" ca="1" si="17"/>
        <v>218.40399725304459</v>
      </c>
    </row>
    <row r="24" spans="1:17">
      <c r="A24" s="462" t="s">
        <v>112</v>
      </c>
      <c r="B24" s="463">
        <f t="shared" ca="1" si="2"/>
        <v>11.442998895888865</v>
      </c>
      <c r="C24" s="463">
        <f t="shared" ca="1" si="3"/>
        <v>0</v>
      </c>
      <c r="D24" s="463">
        <f t="shared" si="4"/>
        <v>685.44442589129096</v>
      </c>
      <c r="E24" s="463">
        <f t="shared" si="5"/>
        <v>0.15109121044089929</v>
      </c>
      <c r="F24" s="463">
        <f t="shared" si="6"/>
        <v>48.658675997575259</v>
      </c>
      <c r="G24" s="463">
        <f t="shared" si="7"/>
        <v>0</v>
      </c>
      <c r="H24" s="463">
        <f t="shared" si="8"/>
        <v>0</v>
      </c>
      <c r="I24" s="463">
        <f t="shared" si="9"/>
        <v>0</v>
      </c>
      <c r="J24" s="463">
        <f t="shared" si="10"/>
        <v>2.8120087574547075</v>
      </c>
      <c r="K24" s="463">
        <f t="shared" si="11"/>
        <v>0</v>
      </c>
      <c r="L24" s="463">
        <f t="shared" si="12"/>
        <v>0</v>
      </c>
      <c r="M24" s="463">
        <f t="shared" si="13"/>
        <v>0</v>
      </c>
      <c r="N24" s="463">
        <f t="shared" si="14"/>
        <v>0</v>
      </c>
      <c r="O24" s="463">
        <f t="shared" si="15"/>
        <v>0</v>
      </c>
      <c r="P24" s="464">
        <f t="shared" si="16"/>
        <v>0</v>
      </c>
      <c r="Q24" s="462">
        <f t="shared" ca="1" si="17"/>
        <v>748.50920075265071</v>
      </c>
    </row>
    <row r="25" spans="1:17">
      <c r="A25" s="462" t="s">
        <v>657</v>
      </c>
      <c r="B25" s="463">
        <f t="shared" ca="1" si="2"/>
        <v>70.600433289906249</v>
      </c>
      <c r="C25" s="463">
        <f t="shared" ca="1" si="3"/>
        <v>0</v>
      </c>
      <c r="D25" s="463">
        <f t="shared" si="4"/>
        <v>202.51258114535992</v>
      </c>
      <c r="E25" s="463">
        <f t="shared" si="5"/>
        <v>11.794881530163243</v>
      </c>
      <c r="F25" s="463">
        <f t="shared" si="6"/>
        <v>39.573889225201647</v>
      </c>
      <c r="G25" s="463">
        <f t="shared" si="7"/>
        <v>0</v>
      </c>
      <c r="H25" s="463">
        <f t="shared" si="8"/>
        <v>0</v>
      </c>
      <c r="I25" s="463">
        <f t="shared" si="9"/>
        <v>0</v>
      </c>
      <c r="J25" s="463">
        <f t="shared" si="10"/>
        <v>0.10105966240226429</v>
      </c>
      <c r="K25" s="463">
        <f t="shared" si="11"/>
        <v>0</v>
      </c>
      <c r="L25" s="463">
        <f t="shared" si="12"/>
        <v>0</v>
      </c>
      <c r="M25" s="463">
        <f t="shared" si="13"/>
        <v>0</v>
      </c>
      <c r="N25" s="463">
        <f t="shared" si="14"/>
        <v>0</v>
      </c>
      <c r="O25" s="463">
        <f t="shared" si="15"/>
        <v>0</v>
      </c>
      <c r="P25" s="464">
        <f t="shared" si="16"/>
        <v>0</v>
      </c>
      <c r="Q25" s="462">
        <f t="shared" ca="1" si="17"/>
        <v>324.58284485303335</v>
      </c>
    </row>
    <row r="26" spans="1:17" s="468" customFormat="1">
      <c r="A26" s="466" t="s">
        <v>574</v>
      </c>
      <c r="B26" s="823">
        <f t="shared" ca="1" si="2"/>
        <v>1.1980219173990596</v>
      </c>
      <c r="C26" s="467"/>
      <c r="D26" s="467">
        <f t="shared" si="4"/>
        <v>1.7920940924319431</v>
      </c>
      <c r="E26" s="467">
        <f t="shared" si="5"/>
        <v>72.728187964838682</v>
      </c>
      <c r="F26" s="467"/>
      <c r="G26" s="467">
        <f t="shared" si="7"/>
        <v>19871.23783820017</v>
      </c>
      <c r="H26" s="467">
        <f t="shared" si="8"/>
        <v>3413.7451788215694</v>
      </c>
      <c r="I26" s="467"/>
      <c r="J26" s="467"/>
      <c r="K26" s="467"/>
      <c r="L26" s="467"/>
      <c r="M26" s="467">
        <f t="shared" si="13"/>
        <v>0</v>
      </c>
      <c r="N26" s="467"/>
      <c r="O26" s="467"/>
      <c r="P26" s="478"/>
      <c r="Q26" s="466">
        <f t="shared" ca="1" si="17"/>
        <v>23360.70132099641</v>
      </c>
    </row>
    <row r="27" spans="1:17">
      <c r="A27" s="462" t="s">
        <v>564</v>
      </c>
      <c r="B27" s="463">
        <f t="shared" ca="1" si="2"/>
        <v>0</v>
      </c>
      <c r="C27" s="463"/>
      <c r="D27" s="467">
        <f t="shared" si="4"/>
        <v>0</v>
      </c>
      <c r="E27" s="463"/>
      <c r="F27" s="463"/>
      <c r="G27" s="463">
        <f t="shared" si="7"/>
        <v>156.51976174940299</v>
      </c>
      <c r="H27" s="463"/>
      <c r="I27" s="463"/>
      <c r="J27" s="463"/>
      <c r="K27" s="463"/>
      <c r="L27" s="463"/>
      <c r="M27" s="463">
        <f t="shared" si="13"/>
        <v>0</v>
      </c>
      <c r="N27" s="463"/>
      <c r="O27" s="463"/>
      <c r="P27" s="464"/>
      <c r="Q27" s="462">
        <f t="shared" ca="1" si="17"/>
        <v>156.51976174940299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7177.5199794744485</v>
      </c>
      <c r="C31" s="473">
        <f t="shared" ca="1" si="18"/>
        <v>0</v>
      </c>
      <c r="D31" s="473">
        <f t="shared" ca="1" si="18"/>
        <v>24272.837169194136</v>
      </c>
      <c r="E31" s="473">
        <f t="shared" si="18"/>
        <v>565.72224129260758</v>
      </c>
      <c r="F31" s="473">
        <f t="shared" ca="1" si="18"/>
        <v>2626.2775893556031</v>
      </c>
      <c r="G31" s="473">
        <f t="shared" si="18"/>
        <v>20027.757599949571</v>
      </c>
      <c r="H31" s="473">
        <f t="shared" si="18"/>
        <v>3413.7451788215694</v>
      </c>
      <c r="I31" s="473">
        <f t="shared" si="18"/>
        <v>0</v>
      </c>
      <c r="J31" s="473">
        <f t="shared" si="18"/>
        <v>2.9130684198569718</v>
      </c>
      <c r="K31" s="473">
        <f t="shared" si="18"/>
        <v>0</v>
      </c>
      <c r="L31" s="473">
        <f t="shared" ca="1" si="18"/>
        <v>0</v>
      </c>
      <c r="M31" s="473">
        <f t="shared" si="18"/>
        <v>0</v>
      </c>
      <c r="N31" s="473">
        <f t="shared" ca="1" si="18"/>
        <v>0</v>
      </c>
      <c r="O31" s="473">
        <f t="shared" si="18"/>
        <v>0</v>
      </c>
      <c r="P31" s="474">
        <f t="shared" si="18"/>
        <v>0</v>
      </c>
      <c r="Q31" s="474">
        <f t="shared" ca="1" si="18"/>
        <v>58086.772826507782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0.21664140279986491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0.21664140279986491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0.21664140279986491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2019-01-02T18:03:07Z</dcterms:modified>
</cp:coreProperties>
</file>