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B22" i="6"/>
  <c r="C18" i="15" s="1"/>
  <c r="C20" s="1"/>
  <c r="D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Q5" i="48"/>
  <c r="N22" i="16"/>
  <c r="O39" i="14" s="1"/>
  <c r="O41" s="1"/>
  <c r="F8" i="48"/>
  <c r="Q4"/>
  <c r="N22"/>
  <c r="R11" i="14"/>
  <c r="J21" i="48"/>
  <c r="C17" i="19" l="1"/>
  <c r="C19" s="1"/>
  <c r="D35" i="14" s="1"/>
  <c r="C29" i="20"/>
  <c r="C17" i="49"/>
  <c r="C56" i="22"/>
  <c r="C58" s="1"/>
  <c r="D44" i="14" s="1"/>
  <c r="D46" s="1"/>
  <c r="C10" i="17"/>
  <c r="C12" s="1"/>
  <c r="D48" i="14" s="1"/>
  <c r="C16" i="22"/>
  <c r="O13" i="14"/>
  <c r="O15" s="1"/>
  <c r="C10" i="13"/>
  <c r="C16" i="48" s="1"/>
  <c r="C24" s="1"/>
  <c r="F13" i="14"/>
  <c r="F15" s="1"/>
  <c r="F23" s="1"/>
  <c r="N55"/>
  <c r="F22" i="16"/>
  <c r="G39" i="14" s="1"/>
  <c r="G41" s="1"/>
  <c r="G53" s="1"/>
  <c r="G55" s="1"/>
  <c r="O69" s="1"/>
  <c r="B9" i="6" s="1"/>
  <c r="B12" s="1"/>
  <c r="K13" i="14"/>
  <c r="K15" s="1"/>
  <c r="K23" s="1"/>
  <c r="K55" s="1"/>
  <c r="N25" i="48"/>
  <c r="N31" s="1"/>
  <c r="N14"/>
  <c r="E25"/>
  <c r="E31" s="1"/>
  <c r="E14"/>
  <c r="H55" i="14"/>
  <c r="E55"/>
  <c r="C78"/>
  <c r="C81" s="1"/>
  <c r="J14" i="48"/>
  <c r="J31"/>
  <c r="Q8"/>
  <c r="Q14" s="1"/>
  <c r="R19" i="14"/>
  <c r="R20" s="1"/>
  <c r="H14" i="48"/>
  <c r="G31"/>
  <c r="H26"/>
  <c r="H31" s="1"/>
  <c r="F55" i="14"/>
  <c r="O53"/>
  <c r="M53"/>
  <c r="M55" s="1"/>
  <c r="C12" i="13"/>
  <c r="D37" i="14" s="1"/>
  <c r="D41" s="1"/>
  <c r="C28" i="4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<sst xmlns="http://schemas.openxmlformats.org/spreadsheetml/2006/main" count="2187" uniqueCount="899">
  <si>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</si>
  <si>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</si>
  <si>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</si>
  <si>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</si>
  <si>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</si>
  <si>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</si>
  <si>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</si>
  <si>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</si>
  <si>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</si>
  <si>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</si>
  <si>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</si>
  <si>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</si>
  <si>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</si>
  <si>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</si>
  <si>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</si>
  <si>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</si>
  <si>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</si>
  <si>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</si>
  <si>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</si>
  <si>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</si>
  <si>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</si>
  <si>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</si>
  <si>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</si>
  <si>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</si>
  <si>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</si>
  <si>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</si>
  <si>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</si>
  <si>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</si>
  <si>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</si>
  <si>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</si>
  <si>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</si>
  <si>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</si>
  <si>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</si>
  <si>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</si>
  <si>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</si>
  <si>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</si>
  <si>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</si>
  <si>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</si>
  <si>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</si>
  <si>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</si>
  <si>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</si>
  <si>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</si>
  <si>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</si>
  <si>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</si>
  <si>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</si>
  <si>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</si>
  <si>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</si>
  <si>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</si>
  <si>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</si>
  <si>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</si>
  <si>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</si>
  <si>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</si>
  <si>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</si>
  <si>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</si>
  <si>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</si>
  <si>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</si>
  <si>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</si>
  <si>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</si>
  <si>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</si>
  <si>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</si>
  <si>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</si>
  <si>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</si>
  <si>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</si>
  <si>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</si>
  <si>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</si>
  <si>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</si>
  <si>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</si>
  <si>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</si>
  <si>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</si>
  <si>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</si>
  <si>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</si>
  <si>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</si>
  <si>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</si>
  <si>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</si>
  <si>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</si>
  <si>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</si>
  <si>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</si>
  <si>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</si>
  <si>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</si>
  <si>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</si>
  <si>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</si>
  <si>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</si>
  <si>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</si>
  <si>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</si>
  <si>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</si>
  <si>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</si>
  <si>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</si>
  <si>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</si>
  <si>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</si>
  <si>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</si>
  <si>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</si>
  <si>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</si>
  <si>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</si>
  <si>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</si>
  <si>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</si>
  <si>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</si>
  <si>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</si>
  <si>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</si>
  <si>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</si>
  <si>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</si>
  <si>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</si>
  <si>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</si>
  <si>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</si>
  <si>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</si>
  <si>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</si>
  <si>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</si>
  <si>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</si>
  <si>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</si>
  <si>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</si>
  <si>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</si>
  <si>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</si>
  <si>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</si>
  <si>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</si>
  <si>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</si>
  <si>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</si>
  <si>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</si>
  <si>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</si>
  <si>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</si>
  <si>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</si>
  <si>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</si>
  <si>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</si>
  <si>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</si>
  <si>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</si>
  <si>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</si>
  <si>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</si>
  <si>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</si>
  <si>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</si>
  <si>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</si>
  <si>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</si>
  <si>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</si>
  <si>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</si>
  <si>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</si>
  <si>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</si>
  <si>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</si>
  <si>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</si>
  <si>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</si>
  <si>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</si>
  <si>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</si>
  <si>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</si>
  <si>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</si>
  <si>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</si>
  <si>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</si>
  <si>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</si>
  <si>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</si>
  <si>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</si>
  <si>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</si>
  <si>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</si>
  <si>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</si>
  <si>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</si>
  <si>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</si>
  <si>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</si>
  <si>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</si>
  <si>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</si>
  <si>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</si>
  <si>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</si>
  <si>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</si>
  <si>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</si>
  <si>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</si>
  <si>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</si>
  <si>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</si>
  <si>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</si>
  <si>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</si>
  <si>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</si>
  <si>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</si>
  <si>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</si>
  <si>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</si>
  <si>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</si>
  <si>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</si>
  <si>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</si>
  <si>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</si>
  <si>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</si>
  <si>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</si>
  <si>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</si>
  <si>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</si>
  <si>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</si>
  <si>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</si>
  <si>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</si>
  <si>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</si>
  <si>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</si>
  <si>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</si>
  <si>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</si>
  <si>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</si>
  <si>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</si>
  <si>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</si>
  <si>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</si>
  <si>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</si>
  <si>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</si>
  <si>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</si>
  <si>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</si>
  <si>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</si>
  <si>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</si>
  <si>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</si>
  <si>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</si>
  <si>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</si>
  <si>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</si>
  <si>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</si>
  <si>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</si>
  <si>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</si>
  <si>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</si>
  <si>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</si>
  <si>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</si>
  <si>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</si>
  <si>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</si>
  <si>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</si>
  <si>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</si>
  <si>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</si>
  <si>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</si>
  <si>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</si>
  <si>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</si>
  <si>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</si>
  <si>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</si>
  <si>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</si>
  <si>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</si>
  <si>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</si>
  <si>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</si>
  <si>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</si>
  <si>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</si>
  <si>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</si>
  <si>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</si>
  <si>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</si>
  <si>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</si>
  <si>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</si>
  <si>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</si>
  <si>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</si>
  <si>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</si>
  <si>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</si>
  <si>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</si>
  <si>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</si>
  <si>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</si>
  <si>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</si>
  <si>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</si>
  <si>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</si>
  <si>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</si>
  <si>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</si>
  <si>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</si>
  <si>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</si>
  <si>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</si>
  <si>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</si>
  <si>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</si>
  <si>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</si>
  <si>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</si>
  <si>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</si>
  <si>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</si>
  <si>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</si>
  <si>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</si>
  <si>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</si>
  <si>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</si>
  <si>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</si>
  <si>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</si>
  <si>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</si>
  <si>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</si>
  <si>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</si>
  <si>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</si>
  <si>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</si>
  <si>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</si>
  <si>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</si>
  <si>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</si>
  <si>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</si>
  <si>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</si>
  <si>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</si>
  <si>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</si>
  <si>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</si>
  <si>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</si>
  <si>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</si>
  <si>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</si>
  <si>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</si>
  <si>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</si>
  <si>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</si>
  <si>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</si>
  <si>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</si>
  <si>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</si>
  <si>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</si>
  <si>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</si>
  <si>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</si>
  <si>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</si>
  <si>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</si>
  <si>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</si>
  <si>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</si>
  <si>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</si>
  <si>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</si>
  <si>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</si>
  <si>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</si>
  <si>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</si>
  <si>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</si>
  <si>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</si>
  <si>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</si>
  <si>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</si>
  <si>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</si>
  <si>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</si>
  <si>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</si>
  <si>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</si>
  <si>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</si>
  <si>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</si>
  <si>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</si>
  <si>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</si>
  <si>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</si>
  <si>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</si>
  <si>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</si>
  <si>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</si>
  <si>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</si>
  <si>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</si>
  <si>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</si>
  <si>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</si>
  <si>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</si>
  <si>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</si>
  <si>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</si>
  <si>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</si>
  <si>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</si>
  <si>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</si>
  <si>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</si>
  <si>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</si>
  <si>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</si>
  <si>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</si>
  <si>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</si>
  <si>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</si>
  <si>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</si>
  <si>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</si>
  <si>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</si>
  <si>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</si>
  <si>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</si>
  <si>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</si>
  <si>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</si>
  <si>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</si>
  <si>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</si>
  <si>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</si>
  <si>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</si>
  <si>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</si>
  <si>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</si>
  <si>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</si>
  <si>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</si>
  <si>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</si>
  <si>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</si>
  <si>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</si>
  <si>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</si>
  <si>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</si>
  <si>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</si>
  <si>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</si>
  <si>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</si>
  <si>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</si>
  <si>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</si>
  <si>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</si>
  <si>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</si>
  <si>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</si>
  <si>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</si>
  <si>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</si>
  <si>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</si>
  <si>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</si>
  <si>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</si>
  <si>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</si>
  <si>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</si>
  <si>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</si>
  <si>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</si>
  <si>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</si>
  <si>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</si>
  <si>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</si>
  <si>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</si>
  <si>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</si>
  <si>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</si>
  <si>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</si>
  <si>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</si>
  <si>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</si>
  <si>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</si>
  <si>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</si>
  <si>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</si>
  <si>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</si>
  <si>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</si>
  <si>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</si>
  <si>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</si>
  <si>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</si>
  <si>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</si>
  <si>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</si>
  <si>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</si>
  <si>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</si>
  <si>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</si>
  <si>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</si>
  <si>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</si>
  <si>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</si>
  <si>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</si>
  <si>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</si>
  <si>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</si>
  <si>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</si>
  <si>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</si>
  <si>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</si>
  <si>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</si>
  <si>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</si>
  <si>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</si>
  <si>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</si>
  <si>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</si>
  <si>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</si>
  <si>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</si>
  <si>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</si>
  <si>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</si>
  <si>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</si>
  <si>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</si>
  <si>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</si>
  <si>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</si>
  <si>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</si>
  <si>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</si>
  <si>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</si>
  <si>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</si>
  <si>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</si>
  <si>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</si>
  <si>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</si>
  <si>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</si>
  <si>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</si>
  <si>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</si>
  <si>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</si>
  <si>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</si>
  <si>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</si>
  <si>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</si>
  <si>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</si>
  <si>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</si>
  <si>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</si>
  <si>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</si>
  <si>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</si>
  <si>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</si>
  <si>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</si>
  <si>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</si>
  <si>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</si>
  <si>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</si>
  <si>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</si>
  <si>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</si>
  <si>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</si>
  <si>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</si>
  <si>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</si>
  <si>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</si>
  <si>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</si>
  <si>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</si>
  <si>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</si>
  <si>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</si>
  <si>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</si>
  <si>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</si>
  <si>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</si>
  <si>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</si>
  <si>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</si>
  <si>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</si>
  <si>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</si>
  <si>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</si>
  <si>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</si>
  <si>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</si>
  <si>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</si>
  <si>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</si>
  <si>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</si>
  <si>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</si>
  <si>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</si>
  <si>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</si>
  <si>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</si>
  <si>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</si>
  <si>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</si>
  <si>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</si>
  <si>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</si>
  <si>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</si>
  <si>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</si>
  <si>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</si>
  <si>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</si>
  <si>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</si>
  <si>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</si>
  <si>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</si>
  <si>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</si>
  <si>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</si>
  <si>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</si>
  <si>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</si>
  <si>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</si>
  <si>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</si>
  <si>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</si>
  <si>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</si>
  <si>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</si>
  <si>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</si>
  <si>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</si>
  <si>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</si>
  <si>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</si>
  <si>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</si>
  <si>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</si>
  <si>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</si>
  <si>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</si>
  <si>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</si>
  <si>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</si>
  <si>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</si>
  <si>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</si>
  <si>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</si>
  <si>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</si>
  <si>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</si>
  <si>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</si>
  <si>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</si>
  <si>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</si>
  <si>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</si>
  <si>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</si>
  <si>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</si>
  <si>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</si>
  <si>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</si>
  <si>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</si>
  <si>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</si>
  <si>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</si>
  <si>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</si>
  <si>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</si>
  <si>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</si>
  <si>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</si>
  <si>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</si>
  <si>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</si>
  <si>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</si>
  <si>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</si>
  <si>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</si>
  <si>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</si>
  <si>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</si>
  <si>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</si>
  <si>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</si>
  <si>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</si>
  <si>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</si>
  <si>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</si>
  <si>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</si>
  <si>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</si>
  <si>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</si>
  <si>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</si>
  <si>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</si>
  <si>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</si>
  <si>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</si>
  <si>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</si>
  <si>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</si>
  <si>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</si>
  <si>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</si>
  <si>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</si>
  <si>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</si>
  <si>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</si>
  <si>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</si>
  <si>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</si>
  <si>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</si>
  <si>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</si>
  <si>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</si>
  <si>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</si>
  <si>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</si>
  <si>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</si>
  <si>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</si>
  <si>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</si>
  <si>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</si>
  <si>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</si>
  <si>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</si>
  <si>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</si>
  <si>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</si>
  <si>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</si>
  <si>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</si>
  <si>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</si>
  <si>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</si>
  <si>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</si>
  <si>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</si>
  <si>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</si>
  <si>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</si>
  <si>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</si>
  <si>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</si>
  <si>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</si>
  <si>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</si>
  <si>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</si>
  <si>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</si>
  <si>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</si>
  <si>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</si>
  <si>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</si>
  <si>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</si>
  <si>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</si>
  <si>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</si>
  <si>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</si>
  <si>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</si>
  <si>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</si>
  <si>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</si>
  <si>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</si>
  <si>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</si>
  <si>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</si>
  <si>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</si>
  <si>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</si>
  <si>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</si>
  <si>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</si>
  <si>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</si>
  <si>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</si>
  <si>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</si>
  <si>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</si>
  <si>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</si>
  <si>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</si>
  <si>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</si>
  <si>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</si>
  <si>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</si>
  <si>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</si>
  <si>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</si>
  <si>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</si>
  <si>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</si>
  <si>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</si>
  <si>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</si>
  <si>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</si>
  <si>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</si>
  <si>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</si>
  <si>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</si>
  <si>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</si>
  <si>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</si>
  <si>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</si>
  <si>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</si>
  <si>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</si>
  <si>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</si>
  <si>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</si>
  <si>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</si>
  <si>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</si>
  <si>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</si>
  <si>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</si>
  <si>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</si>
  <si>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</si>
  <si>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</si>
  <si>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</si>
  <si>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</si>
  <si>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</si>
  <si>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</si>
  <si>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</si>
  <si>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</si>
  <si>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</si>
  <si>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</si>
  <si>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</si>
  <si>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</si>
  <si>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</si>
  <si>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</si>
  <si>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</si>
  <si>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</si>
  <si>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</si>
  <si>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</si>
  <si>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</si>
  <si>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</si>
  <si>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</si>
  <si>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</si>
  <si>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</si>
  <si>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</si>
  <si>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</si>
  <si>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</si>
  <si>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</si>
  <si>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</si>
  <si>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</si>
  <si>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</si>
  <si>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</si>
  <si>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</si>
  <si>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</si>
  <si>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</si>
  <si>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</si>
  <si>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</si>
  <si>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</si>
  <si>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</si>
  <si>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</si>
  <si>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</si>
  <si>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</si>
  <si>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</si>
  <si>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</si>
  <si>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</si>
  <si>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</si>
  <si>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</si>
  <si>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</si>
  <si>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</si>
  <si>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</si>
  <si>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</si>
  <si>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</si>
  <si>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</si>
  <si>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</si>
  <si>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</si>
  <si>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</si>
  <si>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</si>
  <si>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</si>
  <si>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</si>
  <si>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</si>
  <si>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</si>
  <si>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</si>
  <si>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</si>
  <si>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</si>
  <si>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</si>
  <si>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</si>
  <si>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</si>
  <si>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</si>
  <si>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</si>
  <si>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</si>
  <si>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</si>
  <si>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</si>
  <si>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</si>
  <si>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</si>
  <si>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</si>
  <si>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</si>
  <si>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</si>
  <si>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</si>
  <si>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</si>
  <si>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</si>
  <si>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</si>
  <si>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</si>
  <si>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</si>
  <si>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</si>
  <si>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</si>
  <si>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</si>
  <si>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</si>
  <si>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</si>
  <si>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</si>
  <si>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</si>
  <si>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</si>
  <si>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</si>
  <si>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</si>
  <si>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</si>
  <si>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</si>
  <si>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</si>
  <si>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</si>
  <si>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</si>
  <si>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</si>
  <si>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</si>
  <si>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</si>
  <si>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</si>
  <si>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</si>
  <si>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</si>
  <si>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</si>
  <si>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</si>
  <si>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</si>
  <si>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</si>
  <si>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</si>
  <si>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</si>
  <si>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</si>
  <si>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</si>
  <si>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</si>
  <si>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</si>
  <si>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</si>
  <si>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</si>
  <si>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</si>
  <si>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</si>
  <si>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</si>
  <si>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</si>
  <si>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</si>
  <si>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</si>
  <si>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</si>
  <si>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</si>
  <si>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</si>
  <si>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</si>
  <si>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</si>
  <si>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</si>
  <si>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</si>
  <si>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</si>
  <si>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</si>
  <si>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</si>
  <si>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</si>
  <si>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</si>
  <si>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</si>
  <si>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</si>
  <si>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</si>
  <si>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</si>
  <si>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</si>
  <si>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</si>
  <si>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</si>
  <si>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</si>
  <si>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</si>
  <si>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</si>
  <si>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</si>
  <si>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</si>
  <si>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</si>
  <si>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</si>
  <si>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</si>
  <si>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</si>
  <si>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</si>
  <si>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</si>
  <si>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</si>
  <si>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</si>
  <si>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</si>
  <si>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</si>
  <si>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</si>
  <si>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</si>
  <si>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</si>
  <si>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</si>
  <si>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</si>
  <si>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</si>
  <si>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</si>
  <si>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</si>
  <si>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</si>
  <si>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</si>
  <si>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</si>
  <si>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</si>
  <si>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</si>
  <si>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</si>
  <si>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</si>
  <si>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</si>
  <si>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</si>
  <si>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</si>
  <si>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</si>
  <si>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</si>
  <si>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</si>
  <si>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</si>
  <si>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</si>
  <si>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</si>
  <si>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</si>
  <si>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</si>
  <si>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</si>
  <si>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</si>
  <si>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</si>
  <si>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</si>
  <si>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</si>
  <si>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</si>
  <si>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</si>
  <si>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</si>
  <si>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</si>
  <si>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</si>
  <si>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</si>
  <si>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</si>
  <si>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</si>
  <si>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</si>
  <si>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</si>
  <si>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</si>
  <si>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</si>
  <si>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</si>
  <si>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</si>
  <si>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</si>
  <si>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</si>
  <si>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</si>
  <si>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</si>
  <si>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</si>
  <si>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</si>
  <si>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</si>
  <si>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</si>
  <si>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</si>
  <si>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</si>
  <si>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</si>
  <si>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</si>
  <si>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</si>
  <si>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</si>
  <si>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</si>
  <si>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</si>
  <si>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</si>
  <si>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</si>
  <si>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</si>
  <si>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</si>
  <si>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</si>
  <si>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</si>
  <si>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</si>
  <si>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</si>
  <si>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</si>
  <si>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</si>
  <si>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</si>
  <si>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</si>
  <si>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</si>
  <si>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</si>
  <si>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</si>
  <si>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</si>
  <si>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</si>
  <si>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</si>
  <si>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</si>
  <si>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</si>
  <si>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</si>
  <si>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</si>
  <si>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</si>
  <si>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</si>
  <si>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</si>
  <si>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</si>
  <si>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</si>
  <si>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</si>
  <si>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</si>
  <si>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</si>
  <si>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</si>
  <si>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</si>
  <si>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</si>
  <si>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</si>
  <si>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</si>
  <si>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</si>
  <si>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</si>
  <si>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</si>
  <si>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</si>
  <si>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</si>
  <si>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</si>
  <si>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</si>
  <si>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</si>
  <si>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</si>
  <si>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</si>
  <si>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</si>
  <si>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</si>
  <si>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</si>
  <si>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</si>
  <si>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</si>
  <si>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</si>
  <si>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</si>
  <si>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</si>
  <si>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</si>
  <si>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</si>
  <si>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13040</t>
  </si>
  <si>
    <t>TURNHOUT</t>
  </si>
  <si>
    <t>Cultuurgrond (ha)</t>
  </si>
  <si>
    <t>Paarden&amp;pony's 200 - 600 kg</t>
  </si>
  <si>
    <t>Paarden&amp;pony's &lt; 200 kg</t>
  </si>
  <si>
    <t>op basis van VEA (maart 2018) en Inventaris Hernieuwbare Energiebronnen (juni 2018)</t>
  </si>
  <si>
    <t>VEA (juni 2018)</t>
  </si>
  <si>
    <t>Sunnyland Distribution nv</t>
  </si>
  <si>
    <t>Everdongenlaan 12 , 2300 Turnhout</t>
  </si>
  <si>
    <t>WKK-0310 Sunnyland</t>
  </si>
  <si>
    <t>interne verbrandingsmotor</t>
  </si>
  <si>
    <t>WKK interne verbrandinsgmotor (gas)</t>
  </si>
  <si>
    <t>IVEKA</t>
  </si>
  <si>
    <t>De Nieuwe Kaai vzw</t>
  </si>
  <si>
    <t>Nieuwe Kaai 5 , 2300 Turnhout</t>
  </si>
  <si>
    <t>WKK-0414 Croonenburg</t>
  </si>
  <si>
    <t>stirlingmotor</t>
  </si>
  <si>
    <t>Sanico NV</t>
  </si>
  <si>
    <t>Veedijk 59 , 2300 Turnhout</t>
  </si>
  <si>
    <t>WKK-0557 Sanico</t>
  </si>
  <si>
    <t>chemie</t>
  </si>
  <si>
    <t>Aquafin NV</t>
  </si>
  <si>
    <t>Dijkstraat 8, 2630 Aartselaar</t>
  </si>
  <si>
    <t>BGS-0046 RWZI Turnhout</t>
  </si>
  <si>
    <t>biogas - RWZI</t>
  </si>
  <si>
    <t>niet WKK interne verbrandingsmotor (gas)</t>
  </si>
  <si>
    <t>Slachthuisstraat 62, 2300 Turnhout</t>
  </si>
  <si>
    <t>Iveka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</si>
</sst>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358137.19095383963</c:v>
                </c:pt>
                <c:pt idx="1">
                  <c:v>245035.3564808972</c:v>
                </c:pt>
                <c:pt idx="2">
                  <c:v>2580.3589999999999</c:v>
                </c:pt>
                <c:pt idx="3">
                  <c:v>27277.626801536451</c:v>
                </c:pt>
                <c:pt idx="4">
                  <c:v>516573.32533889276</c:v>
                </c:pt>
                <c:pt idx="5">
                  <c:v>239477.88517776702</c:v>
                </c:pt>
                <c:pt idx="6">
                  <c:v>5453.7779170680897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358137.19095383963</c:v>
                </c:pt>
                <c:pt idx="1">
                  <c:v>245035.3564808972</c:v>
                </c:pt>
                <c:pt idx="2">
                  <c:v>2580.3589999999999</c:v>
                </c:pt>
                <c:pt idx="3">
                  <c:v>27277.626801536451</c:v>
                </c:pt>
                <c:pt idx="4">
                  <c:v>516573.32533889276</c:v>
                </c:pt>
                <c:pt idx="5">
                  <c:v>239477.88517776702</c:v>
                </c:pt>
                <c:pt idx="6">
                  <c:v>5453.7779170680897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66313.900979590733</c:v>
                </c:pt>
                <c:pt idx="1">
                  <c:v>51435.59636051827</c:v>
                </c:pt>
                <c:pt idx="2">
                  <c:v>547.20226634497305</c:v>
                </c:pt>
                <c:pt idx="3">
                  <c:v>5917.0299379331482</c:v>
                </c:pt>
                <c:pt idx="4">
                  <c:v>91492.056497900339</c:v>
                </c:pt>
                <c:pt idx="5">
                  <c:v>60587.522182720233</c:v>
                </c:pt>
                <c:pt idx="6">
                  <c:v>1394.1571264521051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66313.900979590733</c:v>
                </c:pt>
                <c:pt idx="1">
                  <c:v>51435.59636051827</c:v>
                </c:pt>
                <c:pt idx="2">
                  <c:v>547.20226634497305</c:v>
                </c:pt>
                <c:pt idx="3">
                  <c:v>5917.0299379331482</c:v>
                </c:pt>
                <c:pt idx="4">
                  <c:v>91492.056497900339</c:v>
                </c:pt>
                <c:pt idx="5">
                  <c:v>60587.522182720233</c:v>
                </c:pt>
                <c:pt idx="6">
                  <c:v>1394.1571264521051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13040</v>
      </c>
      <c r="B6" s="398"/>
      <c r="C6" s="399"/>
    </row>
    <row r="7" spans="1:7" s="396" customFormat="1" ht="15.75" customHeight="1">
      <c r="A7" s="400" t="str">
        <f>txtMunicipality</f>
        <v>TURNHOUT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18795</v>
      </c>
      <c r="C9" s="338">
        <v>19676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2239</v>
      </c>
    </row>
    <row r="15" spans="1:6">
      <c r="A15" s="1269" t="s">
        <v>184</v>
      </c>
      <c r="B15" s="335">
        <v>3425</v>
      </c>
    </row>
    <row r="16" spans="1:6">
      <c r="A16" s="1269" t="s">
        <v>6</v>
      </c>
      <c r="B16" s="335">
        <v>1070</v>
      </c>
    </row>
    <row r="17" spans="1:6">
      <c r="A17" s="1269" t="s">
        <v>7</v>
      </c>
      <c r="B17" s="335">
        <v>184</v>
      </c>
    </row>
    <row r="18" spans="1:6">
      <c r="A18" s="1269" t="s">
        <v>8</v>
      </c>
      <c r="B18" s="335">
        <v>636</v>
      </c>
    </row>
    <row r="19" spans="1:6">
      <c r="A19" s="1269" t="s">
        <v>9</v>
      </c>
      <c r="B19" s="335">
        <v>481</v>
      </c>
    </row>
    <row r="20" spans="1:6">
      <c r="A20" s="1269" t="s">
        <v>10</v>
      </c>
      <c r="B20" s="335">
        <v>231</v>
      </c>
    </row>
    <row r="21" spans="1:6">
      <c r="A21" s="1269" t="s">
        <v>11</v>
      </c>
      <c r="B21" s="335">
        <v>1299</v>
      </c>
    </row>
    <row r="22" spans="1:6">
      <c r="A22" s="1269" t="s">
        <v>12</v>
      </c>
      <c r="B22" s="335">
        <v>3332</v>
      </c>
    </row>
    <row r="23" spans="1:6">
      <c r="A23" s="1269" t="s">
        <v>13</v>
      </c>
      <c r="B23" s="335">
        <v>43</v>
      </c>
    </row>
    <row r="24" spans="1:6">
      <c r="A24" s="1269" t="s">
        <v>14</v>
      </c>
      <c r="B24" s="335">
        <v>3</v>
      </c>
    </row>
    <row r="25" spans="1:6">
      <c r="A25" s="1269" t="s">
        <v>15</v>
      </c>
      <c r="B25" s="335">
        <v>345</v>
      </c>
    </row>
    <row r="26" spans="1:6">
      <c r="A26" s="1269" t="s">
        <v>16</v>
      </c>
      <c r="B26" s="335">
        <v>53</v>
      </c>
    </row>
    <row r="27" spans="1:6">
      <c r="A27" s="1269" t="s">
        <v>17</v>
      </c>
      <c r="B27" s="335">
        <v>0</v>
      </c>
    </row>
    <row r="28" spans="1:6" s="341" customFormat="1">
      <c r="A28" s="1270" t="s">
        <v>18</v>
      </c>
      <c r="B28" s="1270">
        <v>448513</v>
      </c>
    </row>
    <row r="29" spans="1:6">
      <c r="A29" s="1270" t="s">
        <v>874</v>
      </c>
      <c r="B29" s="1270">
        <v>105</v>
      </c>
      <c r="C29" s="341"/>
      <c r="D29" s="341"/>
      <c r="E29" s="341"/>
      <c r="F29" s="341"/>
    </row>
    <row r="30" spans="1:6">
      <c r="A30" s="1265" t="s">
        <v>875</v>
      </c>
      <c r="B30" s="1265">
        <v>35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13</v>
      </c>
      <c r="F36" s="335">
        <v>623228.13439204404</v>
      </c>
    </row>
    <row r="37" spans="1:6">
      <c r="A37" s="1269" t="s">
        <v>25</v>
      </c>
      <c r="B37" s="1269" t="s">
        <v>28</v>
      </c>
      <c r="C37" s="335">
        <v>0</v>
      </c>
      <c r="D37" s="335">
        <v>0</v>
      </c>
      <c r="E37" s="335">
        <v>0</v>
      </c>
      <c r="F37" s="335">
        <v>0</v>
      </c>
    </row>
    <row r="38" spans="1:6">
      <c r="A38" s="1269" t="s">
        <v>25</v>
      </c>
      <c r="B38" s="1269" t="s">
        <v>29</v>
      </c>
      <c r="C38" s="335">
        <v>5</v>
      </c>
      <c r="D38" s="335">
        <v>205711.58154782801</v>
      </c>
      <c r="E38" s="335">
        <v>2</v>
      </c>
      <c r="F38" s="335">
        <v>56948.674526046001</v>
      </c>
    </row>
    <row r="39" spans="1:6">
      <c r="A39" s="1269" t="s">
        <v>30</v>
      </c>
      <c r="B39" s="1269" t="s">
        <v>31</v>
      </c>
      <c r="C39" s="335">
        <v>16637</v>
      </c>
      <c r="D39" s="335">
        <v>287386199.87235397</v>
      </c>
      <c r="E39" s="335">
        <v>18938</v>
      </c>
      <c r="F39" s="335">
        <v>57373067.299856998</v>
      </c>
    </row>
    <row r="40" spans="1:6">
      <c r="A40" s="1269" t="s">
        <v>30</v>
      </c>
      <c r="B40" s="1269" t="s">
        <v>29</v>
      </c>
      <c r="C40" s="335">
        <v>0</v>
      </c>
      <c r="D40" s="335">
        <v>0</v>
      </c>
      <c r="E40" s="335">
        <v>2</v>
      </c>
      <c r="F40" s="335">
        <v>15895.7268087343</v>
      </c>
    </row>
    <row r="41" spans="1:6">
      <c r="A41" s="1269" t="s">
        <v>32</v>
      </c>
      <c r="B41" s="1269" t="s">
        <v>33</v>
      </c>
      <c r="C41" s="335">
        <v>166</v>
      </c>
      <c r="D41" s="335">
        <v>8912601.5304879807</v>
      </c>
      <c r="E41" s="335">
        <v>280</v>
      </c>
      <c r="F41" s="335">
        <v>9416839.0210304298</v>
      </c>
    </row>
    <row r="42" spans="1:6">
      <c r="A42" s="1269" t="s">
        <v>32</v>
      </c>
      <c r="B42" s="1269" t="s">
        <v>34</v>
      </c>
      <c r="C42" s="335">
        <v>13</v>
      </c>
      <c r="D42" s="335">
        <v>16735795.402759001</v>
      </c>
      <c r="E42" s="335">
        <v>10</v>
      </c>
      <c r="F42" s="335">
        <v>15970269.4547859</v>
      </c>
    </row>
    <row r="43" spans="1:6">
      <c r="A43" s="1269" t="s">
        <v>32</v>
      </c>
      <c r="B43" s="1269" t="s">
        <v>35</v>
      </c>
      <c r="C43" s="335">
        <v>0</v>
      </c>
      <c r="D43" s="335">
        <v>0</v>
      </c>
      <c r="E43" s="335">
        <v>0</v>
      </c>
      <c r="F43" s="335">
        <v>0</v>
      </c>
    </row>
    <row r="44" spans="1:6">
      <c r="A44" s="1269" t="s">
        <v>32</v>
      </c>
      <c r="B44" s="1269" t="s">
        <v>36</v>
      </c>
      <c r="C44" s="335">
        <v>8</v>
      </c>
      <c r="D44" s="335">
        <v>1287508.4089240001</v>
      </c>
      <c r="E44" s="335">
        <v>23</v>
      </c>
      <c r="F44" s="335">
        <v>592112.29132476903</v>
      </c>
    </row>
    <row r="45" spans="1:6">
      <c r="A45" s="1269" t="s">
        <v>32</v>
      </c>
      <c r="B45" s="1269" t="s">
        <v>37</v>
      </c>
      <c r="C45" s="335">
        <v>0</v>
      </c>
      <c r="D45" s="335">
        <v>0</v>
      </c>
      <c r="E45" s="335">
        <v>3</v>
      </c>
      <c r="F45" s="335">
        <v>511636.17424179602</v>
      </c>
    </row>
    <row r="46" spans="1:6">
      <c r="A46" s="1269" t="s">
        <v>32</v>
      </c>
      <c r="B46" s="1269" t="s">
        <v>38</v>
      </c>
      <c r="C46" s="335">
        <v>0</v>
      </c>
      <c r="D46" s="335">
        <v>0</v>
      </c>
      <c r="E46" s="335">
        <v>0</v>
      </c>
      <c r="F46" s="335">
        <v>0</v>
      </c>
    </row>
    <row r="47" spans="1:6">
      <c r="A47" s="1269" t="s">
        <v>32</v>
      </c>
      <c r="B47" s="1269" t="s">
        <v>39</v>
      </c>
      <c r="C47" s="335">
        <v>20</v>
      </c>
      <c r="D47" s="335">
        <v>32383580.7935923</v>
      </c>
      <c r="E47" s="335">
        <v>22</v>
      </c>
      <c r="F47" s="335">
        <v>31125703.280311599</v>
      </c>
    </row>
    <row r="48" spans="1:6">
      <c r="A48" s="1269" t="s">
        <v>32</v>
      </c>
      <c r="B48" s="1269" t="s">
        <v>29</v>
      </c>
      <c r="C48" s="335">
        <v>48</v>
      </c>
      <c r="D48" s="335">
        <v>95817860.494247004</v>
      </c>
      <c r="E48" s="335">
        <v>50</v>
      </c>
      <c r="F48" s="335">
        <v>108244716.493294</v>
      </c>
    </row>
    <row r="49" spans="1:6">
      <c r="A49" s="1269" t="s">
        <v>32</v>
      </c>
      <c r="B49" s="1269" t="s">
        <v>40</v>
      </c>
      <c r="C49" s="335">
        <v>5</v>
      </c>
      <c r="D49" s="335">
        <v>111617.64975920301</v>
      </c>
      <c r="E49" s="335">
        <v>8</v>
      </c>
      <c r="F49" s="335">
        <v>34666.434617599101</v>
      </c>
    </row>
    <row r="50" spans="1:6">
      <c r="A50" s="1269" t="s">
        <v>32</v>
      </c>
      <c r="B50" s="1269" t="s">
        <v>41</v>
      </c>
      <c r="C50" s="335">
        <v>28</v>
      </c>
      <c r="D50" s="335">
        <v>31698546.031032499</v>
      </c>
      <c r="E50" s="335">
        <v>43</v>
      </c>
      <c r="F50" s="335">
        <v>17615480.681045201</v>
      </c>
    </row>
    <row r="51" spans="1:6">
      <c r="A51" s="1269" t="s">
        <v>42</v>
      </c>
      <c r="B51" s="1269" t="s">
        <v>43</v>
      </c>
      <c r="C51" s="335">
        <v>0</v>
      </c>
      <c r="D51" s="335">
        <v>0</v>
      </c>
      <c r="E51" s="335">
        <v>68</v>
      </c>
      <c r="F51" s="335">
        <v>1419346.3956121199</v>
      </c>
    </row>
    <row r="52" spans="1:6">
      <c r="A52" s="1269" t="s">
        <v>42</v>
      </c>
      <c r="B52" s="1269" t="s">
        <v>29</v>
      </c>
      <c r="C52" s="335">
        <v>18</v>
      </c>
      <c r="D52" s="335">
        <v>3813697.9812138998</v>
      </c>
      <c r="E52" s="335">
        <v>10</v>
      </c>
      <c r="F52" s="335">
        <v>161009.984423241</v>
      </c>
    </row>
    <row r="53" spans="1:6">
      <c r="A53" s="1269" t="s">
        <v>44</v>
      </c>
      <c r="B53" s="1269" t="s">
        <v>45</v>
      </c>
      <c r="C53" s="335">
        <v>424</v>
      </c>
      <c r="D53" s="335">
        <v>18344908.278706599</v>
      </c>
      <c r="E53" s="335">
        <v>765</v>
      </c>
      <c r="F53" s="335">
        <v>2897676.5058812001</v>
      </c>
    </row>
    <row r="54" spans="1:6">
      <c r="A54" s="1269" t="s">
        <v>46</v>
      </c>
      <c r="B54" s="1269" t="s">
        <v>47</v>
      </c>
      <c r="C54" s="335">
        <v>0</v>
      </c>
      <c r="D54" s="335">
        <v>0</v>
      </c>
      <c r="E54" s="335">
        <v>1</v>
      </c>
      <c r="F54" s="335">
        <v>2580359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132</v>
      </c>
      <c r="D57" s="335">
        <v>8084311.6623292202</v>
      </c>
      <c r="E57" s="335">
        <v>186</v>
      </c>
      <c r="F57" s="335">
        <v>5940221.5129961297</v>
      </c>
    </row>
    <row r="58" spans="1:6">
      <c r="A58" s="1269" t="s">
        <v>49</v>
      </c>
      <c r="B58" s="1269" t="s">
        <v>51</v>
      </c>
      <c r="C58" s="335">
        <v>104</v>
      </c>
      <c r="D58" s="335">
        <v>18220650.166918799</v>
      </c>
      <c r="E58" s="335">
        <v>129</v>
      </c>
      <c r="F58" s="335">
        <v>7879821.2703857403</v>
      </c>
    </row>
    <row r="59" spans="1:6">
      <c r="A59" s="1269" t="s">
        <v>49</v>
      </c>
      <c r="B59" s="1269" t="s">
        <v>52</v>
      </c>
      <c r="C59" s="335">
        <v>440</v>
      </c>
      <c r="D59" s="335">
        <v>36478477.762531802</v>
      </c>
      <c r="E59" s="335">
        <v>663</v>
      </c>
      <c r="F59" s="335">
        <v>32776740.006207</v>
      </c>
    </row>
    <row r="60" spans="1:6">
      <c r="A60" s="1269" t="s">
        <v>49</v>
      </c>
      <c r="B60" s="1269" t="s">
        <v>53</v>
      </c>
      <c r="C60" s="335">
        <v>219</v>
      </c>
      <c r="D60" s="335">
        <v>20440384.6979164</v>
      </c>
      <c r="E60" s="335">
        <v>244</v>
      </c>
      <c r="F60" s="335">
        <v>8453375.5933556091</v>
      </c>
    </row>
    <row r="61" spans="1:6">
      <c r="A61" s="1269" t="s">
        <v>49</v>
      </c>
      <c r="B61" s="1269" t="s">
        <v>54</v>
      </c>
      <c r="C61" s="335">
        <v>616</v>
      </c>
      <c r="D61" s="335">
        <v>43871193.109042302</v>
      </c>
      <c r="E61" s="335">
        <v>1251</v>
      </c>
      <c r="F61" s="335">
        <v>27425540.734970499</v>
      </c>
    </row>
    <row r="62" spans="1:6">
      <c r="A62" s="1269" t="s">
        <v>49</v>
      </c>
      <c r="B62" s="1269" t="s">
        <v>55</v>
      </c>
      <c r="C62" s="335">
        <v>46</v>
      </c>
      <c r="D62" s="335">
        <v>9360023.7084913906</v>
      </c>
      <c r="E62" s="335">
        <v>43</v>
      </c>
      <c r="F62" s="335">
        <v>2690360.47257142</v>
      </c>
    </row>
    <row r="63" spans="1:6">
      <c r="A63" s="1269" t="s">
        <v>49</v>
      </c>
      <c r="B63" s="1269" t="s">
        <v>29</v>
      </c>
      <c r="C63" s="335">
        <v>78</v>
      </c>
      <c r="D63" s="335">
        <v>10812270.733511999</v>
      </c>
      <c r="E63" s="335">
        <v>78</v>
      </c>
      <c r="F63" s="335">
        <v>6122579.4675412299</v>
      </c>
    </row>
    <row r="64" spans="1:6">
      <c r="A64" s="1269" t="s">
        <v>56</v>
      </c>
      <c r="B64" s="1269" t="s">
        <v>57</v>
      </c>
      <c r="C64" s="335">
        <v>0</v>
      </c>
      <c r="D64" s="335">
        <v>0</v>
      </c>
      <c r="E64" s="335">
        <v>0</v>
      </c>
      <c r="F64" s="335">
        <v>0</v>
      </c>
    </row>
    <row r="65" spans="1:6">
      <c r="A65" s="1269" t="s">
        <v>56</v>
      </c>
      <c r="B65" s="1269" t="s">
        <v>29</v>
      </c>
      <c r="C65" s="335">
        <v>4</v>
      </c>
      <c r="D65" s="335">
        <v>333529.46610352799</v>
      </c>
      <c r="E65" s="335">
        <v>2</v>
      </c>
      <c r="F65" s="335">
        <v>42368.544195398397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476340.98634889902</v>
      </c>
      <c r="E68" s="335">
        <v>22</v>
      </c>
      <c r="F68" s="335">
        <v>611177.57708454097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152214582</v>
      </c>
      <c r="E73" s="335">
        <v>157975911.17155635</v>
      </c>
    </row>
    <row r="74" spans="1:6">
      <c r="A74" s="1269" t="s">
        <v>64</v>
      </c>
      <c r="B74" s="1269" t="s">
        <v>727</v>
      </c>
      <c r="C74" s="1269" t="s">
        <v>728</v>
      </c>
      <c r="D74" s="335">
        <v>14306146.454981077</v>
      </c>
      <c r="E74" s="335">
        <v>14608482.097261544</v>
      </c>
    </row>
    <row r="75" spans="1:6">
      <c r="A75" s="1269" t="s">
        <v>65</v>
      </c>
      <c r="B75" s="1269" t="s">
        <v>725</v>
      </c>
      <c r="C75" s="1269" t="s">
        <v>729</v>
      </c>
      <c r="D75" s="335">
        <v>29452343</v>
      </c>
      <c r="E75" s="335">
        <v>30483500.976804804</v>
      </c>
    </row>
    <row r="76" spans="1:6">
      <c r="A76" s="1269" t="s">
        <v>65</v>
      </c>
      <c r="B76" s="1269" t="s">
        <v>727</v>
      </c>
      <c r="C76" s="1269" t="s">
        <v>730</v>
      </c>
      <c r="D76" s="335">
        <v>514311.45498107711</v>
      </c>
      <c r="E76" s="335">
        <v>567664.35296285804</v>
      </c>
    </row>
    <row r="77" spans="1:6">
      <c r="A77" s="1269" t="s">
        <v>66</v>
      </c>
      <c r="B77" s="1269" t="s">
        <v>725</v>
      </c>
      <c r="C77" s="1269" t="s">
        <v>731</v>
      </c>
      <c r="D77" s="335">
        <v>60881920</v>
      </c>
      <c r="E77" s="335">
        <v>66520458.93493101</v>
      </c>
    </row>
    <row r="78" spans="1:6">
      <c r="A78" s="1265" t="s">
        <v>66</v>
      </c>
      <c r="B78" s="1265" t="s">
        <v>727</v>
      </c>
      <c r="C78" s="1265" t="s">
        <v>732</v>
      </c>
      <c r="D78" s="1265">
        <v>15975143</v>
      </c>
      <c r="E78" s="1265">
        <v>18424179.668424014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1440823.0900378458</v>
      </c>
      <c r="C83" s="335">
        <v>1423439.4108484318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3818.2089215046781</v>
      </c>
    </row>
    <row r="92" spans="1:6">
      <c r="A92" s="1265" t="s">
        <v>69</v>
      </c>
      <c r="B92" s="338">
        <v>9633.6074461626795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12843</v>
      </c>
    </row>
    <row r="98" spans="1:6">
      <c r="A98" s="1269" t="s">
        <v>72</v>
      </c>
      <c r="B98" s="335">
        <v>18</v>
      </c>
    </row>
    <row r="99" spans="1:6">
      <c r="A99" s="1269" t="s">
        <v>73</v>
      </c>
      <c r="B99" s="335">
        <v>63</v>
      </c>
    </row>
    <row r="100" spans="1:6">
      <c r="A100" s="1269" t="s">
        <v>74</v>
      </c>
      <c r="B100" s="335">
        <v>462</v>
      </c>
    </row>
    <row r="101" spans="1:6">
      <c r="A101" s="1269" t="s">
        <v>75</v>
      </c>
      <c r="B101" s="335">
        <v>128</v>
      </c>
    </row>
    <row r="102" spans="1:6">
      <c r="A102" s="1269" t="s">
        <v>76</v>
      </c>
      <c r="B102" s="335">
        <v>292</v>
      </c>
    </row>
    <row r="103" spans="1:6">
      <c r="A103" s="1269" t="s">
        <v>77</v>
      </c>
      <c r="B103" s="335">
        <v>271</v>
      </c>
    </row>
    <row r="104" spans="1:6">
      <c r="A104" s="1269" t="s">
        <v>78</v>
      </c>
      <c r="B104" s="335">
        <v>2518</v>
      </c>
    </row>
    <row r="105" spans="1:6">
      <c r="A105" s="1265" t="s">
        <v>79</v>
      </c>
      <c r="B105" s="1265">
        <v>13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17</v>
      </c>
      <c r="C123" s="335">
        <v>17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157</v>
      </c>
    </row>
    <row r="130" spans="1:6">
      <c r="A130" s="1269" t="s">
        <v>295</v>
      </c>
      <c r="B130" s="335">
        <v>4</v>
      </c>
    </row>
    <row r="131" spans="1:6">
      <c r="A131" s="1269" t="s">
        <v>296</v>
      </c>
      <c r="B131" s="335">
        <v>5</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350405.94434091786</v>
      </c>
      <c r="C3" s="43" t="s">
        <v>170</v>
      </c>
      <c r="D3" s="43"/>
      <c r="E3" s="156"/>
      <c r="F3" s="43"/>
      <c r="G3" s="43"/>
      <c r="H3" s="43"/>
      <c r="I3" s="43"/>
      <c r="J3" s="43"/>
      <c r="K3" s="96"/>
    </row>
    <row r="4" spans="1:11">
      <c r="A4" s="366" t="s">
        <v>171</v>
      </c>
      <c r="B4" s="49">
        <f>IF(ISERROR('SEAP template'!B69),0,'SEAP template'!B69)</f>
        <v>23676.566367667358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2101.4315330517079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0.21206439349911121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3268.1613240911502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13816.071428571428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0.23654780166615538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2580.3589999999999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2580.3589999999999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0.21206439349911121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547.20226634497305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57388.963026665733</v>
      </c>
      <c r="C5" s="17">
        <f>IF(ISERROR('Eigen informatie GS &amp; warmtenet'!B57),0,'Eigen informatie GS &amp; warmtenet'!B57)</f>
        <v>0</v>
      </c>
      <c r="D5" s="30">
        <f>(SUM(HH_hh_gas_kWh,HH_rest_gas_kWh)/1000)*0.902</f>
        <v>259222.3522848633</v>
      </c>
      <c r="E5" s="17">
        <f>B46*B57</f>
        <v>4278.0793879461271</v>
      </c>
      <c r="F5" s="17">
        <f>B51*B62</f>
        <v>0</v>
      </c>
      <c r="G5" s="18"/>
      <c r="H5" s="17"/>
      <c r="I5" s="17"/>
      <c r="J5" s="17">
        <f>B50*B61+C50*C61</f>
        <v>0</v>
      </c>
      <c r="K5" s="17"/>
      <c r="L5" s="17"/>
      <c r="M5" s="17"/>
      <c r="N5" s="17">
        <f>B48*B59+C48*C59</f>
        <v>32585.567332859802</v>
      </c>
      <c r="O5" s="17">
        <f>B69*B70*B71</f>
        <v>272.02000000000004</v>
      </c>
      <c r="P5" s="17">
        <f>B77*B78*B79/1000-B77*B78*B79/1000/B80</f>
        <v>572</v>
      </c>
    </row>
    <row r="6" spans="1:16">
      <c r="A6" s="16" t="s">
        <v>634</v>
      </c>
      <c r="B6" s="831">
        <f>kWh_PV_kleiner_dan_10kW</f>
        <v>3818.2089215046781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61207.171948170413</v>
      </c>
      <c r="C8" s="21">
        <f>C5</f>
        <v>0</v>
      </c>
      <c r="D8" s="21">
        <f>D5</f>
        <v>259222.3522848633</v>
      </c>
      <c r="E8" s="21">
        <f>E5</f>
        <v>4278.0793879461271</v>
      </c>
      <c r="F8" s="21">
        <f>F5</f>
        <v>0</v>
      </c>
      <c r="G8" s="21"/>
      <c r="H8" s="21"/>
      <c r="I8" s="21"/>
      <c r="J8" s="21">
        <f>J5</f>
        <v>0</v>
      </c>
      <c r="K8" s="21"/>
      <c r="L8" s="21">
        <f>L5</f>
        <v>0</v>
      </c>
      <c r="M8" s="21">
        <f>M5</f>
        <v>0</v>
      </c>
      <c r="N8" s="21">
        <f>N5</f>
        <v>32585.567332859802</v>
      </c>
      <c r="O8" s="21">
        <f>O5</f>
        <v>272.02000000000004</v>
      </c>
      <c r="P8" s="21">
        <f>P5</f>
        <v>572</v>
      </c>
    </row>
    <row r="9" spans="1:16">
      <c r="B9" s="19"/>
      <c r="C9" s="19"/>
      <c r="D9" s="261"/>
      <c r="E9" s="19"/>
      <c r="F9" s="19"/>
      <c r="G9" s="19"/>
      <c r="H9" s="19"/>
      <c r="I9" s="19"/>
      <c r="J9" s="19"/>
      <c r="K9" s="19"/>
      <c r="L9" s="19"/>
      <c r="M9" s="19"/>
      <c r="N9" s="19"/>
      <c r="O9" s="19"/>
      <c r="P9" s="19"/>
    </row>
    <row r="10" spans="1:16">
      <c r="A10" s="24" t="s">
        <v>214</v>
      </c>
      <c r="B10" s="25">
        <f ca="1">'EF ele_warmte'!B12</f>
        <v>0.21206439349911121</v>
      </c>
      <c r="C10" s="25">
        <f ca="1">'EF ele_warmte'!B22</f>
        <v>0.23654780166615538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12979.861796984573</v>
      </c>
      <c r="C12" s="23">
        <f ca="1">C10*C8</f>
        <v>0</v>
      </c>
      <c r="D12" s="23">
        <f>D8*D10</f>
        <v>52362.915161542391</v>
      </c>
      <c r="E12" s="23">
        <f>E10*E8</f>
        <v>971.1240210637709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12843</v>
      </c>
      <c r="C18" s="168" t="s">
        <v>111</v>
      </c>
      <c r="D18" s="230"/>
      <c r="E18" s="15"/>
    </row>
    <row r="19" spans="1:7">
      <c r="A19" s="173" t="s">
        <v>72</v>
      </c>
      <c r="B19" s="37">
        <f>aantalw2001_ander</f>
        <v>18</v>
      </c>
      <c r="C19" s="168" t="s">
        <v>111</v>
      </c>
      <c r="D19" s="231"/>
      <c r="E19" s="15"/>
    </row>
    <row r="20" spans="1:7">
      <c r="A20" s="173" t="s">
        <v>73</v>
      </c>
      <c r="B20" s="37">
        <f>aantalw2001_propaan</f>
        <v>63</v>
      </c>
      <c r="C20" s="169">
        <f>IF(ISERROR(B20/SUM($B$20,$B$21,$B$22)*100),0,B20/SUM($B$20,$B$21,$B$22)*100)</f>
        <v>9.6477794793261857</v>
      </c>
      <c r="D20" s="231"/>
      <c r="E20" s="15"/>
    </row>
    <row r="21" spans="1:7">
      <c r="A21" s="173" t="s">
        <v>74</v>
      </c>
      <c r="B21" s="37">
        <f>aantalw2001_elektriciteit</f>
        <v>462</v>
      </c>
      <c r="C21" s="169">
        <f>IF(ISERROR(B21/SUM($B$20,$B$21,$B$22)*100),0,B21/SUM($B$20,$B$21,$B$22)*100)</f>
        <v>70.750382848392036</v>
      </c>
      <c r="D21" s="231"/>
      <c r="E21" s="15"/>
    </row>
    <row r="22" spans="1:7">
      <c r="A22" s="173" t="s">
        <v>75</v>
      </c>
      <c r="B22" s="37">
        <f>aantalw2001_hout</f>
        <v>128</v>
      </c>
      <c r="C22" s="169">
        <f>IF(ISERROR(B22/SUM($B$20,$B$21,$B$22)*100),0,B22/SUM($B$20,$B$21,$B$22)*100)</f>
        <v>19.601837672281778</v>
      </c>
      <c r="D22" s="231"/>
      <c r="E22" s="15"/>
    </row>
    <row r="23" spans="1:7">
      <c r="A23" s="173" t="s">
        <v>76</v>
      </c>
      <c r="B23" s="37">
        <f>aantalw2001_niet_gespec</f>
        <v>292</v>
      </c>
      <c r="C23" s="168" t="s">
        <v>111</v>
      </c>
      <c r="D23" s="230"/>
      <c r="E23" s="15"/>
    </row>
    <row r="24" spans="1:7">
      <c r="A24" s="173" t="s">
        <v>77</v>
      </c>
      <c r="B24" s="37">
        <f>aantalw2001_steenkool</f>
        <v>271</v>
      </c>
      <c r="C24" s="168" t="s">
        <v>111</v>
      </c>
      <c r="D24" s="231"/>
      <c r="E24" s="15"/>
    </row>
    <row r="25" spans="1:7">
      <c r="A25" s="173" t="s">
        <v>78</v>
      </c>
      <c r="B25" s="37">
        <f>aantalw2001_stookolie</f>
        <v>2518</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18795</v>
      </c>
      <c r="C28" s="36"/>
      <c r="D28" s="230"/>
    </row>
    <row r="29" spans="1:7" s="15" customFormat="1">
      <c r="A29" s="232" t="s">
        <v>746</v>
      </c>
      <c r="B29" s="37">
        <f>SUM(HH_hh_gas_aantal,HH_rest_gas_aantal)</f>
        <v>16637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16637</v>
      </c>
      <c r="C32" s="169">
        <f>IF(ISERROR(B32/SUM($B$32,$B$34,$B$35,$B$36,$B$38,$B$39)*100),0,B32/SUM($B$32,$B$34,$B$35,$B$36,$B$38,$B$39)*100)</f>
        <v>88.659738875566219</v>
      </c>
      <c r="D32" s="235"/>
      <c r="G32" s="15"/>
    </row>
    <row r="33" spans="1:7">
      <c r="A33" s="173" t="s">
        <v>72</v>
      </c>
      <c r="B33" s="34" t="s">
        <v>111</v>
      </c>
      <c r="C33" s="169"/>
      <c r="D33" s="235"/>
      <c r="G33" s="15"/>
    </row>
    <row r="34" spans="1:7">
      <c r="A34" s="173" t="s">
        <v>73</v>
      </c>
      <c r="B34" s="33">
        <f>IF((($B$28-$B$32-$B$39-$B$77-$B$38)*C20/100)&lt;0,0,($B$28-$B$32-$B$39-$B$77-$B$38)*C20/100)</f>
        <v>205.30474732006121</v>
      </c>
      <c r="C34" s="169">
        <f>IF(ISERROR(B34/SUM($B$32,$B$34,$B$35,$B$36,$B$38,$B$39)*100),0,B34/SUM($B$32,$B$34,$B$35,$B$36,$B$38,$B$39)*100)</f>
        <v>1.0940833856651278</v>
      </c>
      <c r="D34" s="235"/>
      <c r="G34" s="15"/>
    </row>
    <row r="35" spans="1:7">
      <c r="A35" s="173" t="s">
        <v>74</v>
      </c>
      <c r="B35" s="33">
        <f>IF((($B$28-$B$32-$B$39-$B$77-$B$38)*C21/100)&lt;0,0,($B$28-$B$32-$B$39-$B$77-$B$38)*C21/100)</f>
        <v>1505.5681470137827</v>
      </c>
      <c r="C35" s="169">
        <f>IF(ISERROR(B35/SUM($B$32,$B$34,$B$35,$B$36,$B$38,$B$39)*100),0,B35/SUM($B$32,$B$34,$B$35,$B$36,$B$38,$B$39)*100)</f>
        <v>8.0232781615442725</v>
      </c>
      <c r="D35" s="235"/>
      <c r="G35" s="15"/>
    </row>
    <row r="36" spans="1:7">
      <c r="A36" s="173" t="s">
        <v>75</v>
      </c>
      <c r="B36" s="33">
        <f>IF((($B$28-$B$32-$B$39-$B$77-$B$38)*C22/100)&lt;0,0,($B$28-$B$32-$B$39-$B$77-$B$38)*C22/100)</f>
        <v>417.1271056661563</v>
      </c>
      <c r="C36" s="169">
        <f>IF(ISERROR(B36/SUM($B$32,$B$34,$B$35,$B$36,$B$38,$B$39)*100),0,B36/SUM($B$32,$B$34,$B$35,$B$36,$B$38,$B$39)*100)</f>
        <v>2.2228995772243874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16637</v>
      </c>
      <c r="C44" s="34" t="s">
        <v>111</v>
      </c>
      <c r="D44" s="176"/>
    </row>
    <row r="45" spans="1:7">
      <c r="A45" s="173" t="s">
        <v>72</v>
      </c>
      <c r="B45" s="33" t="str">
        <f t="shared" si="0"/>
        <v>-</v>
      </c>
      <c r="C45" s="34" t="s">
        <v>111</v>
      </c>
      <c r="D45" s="176"/>
    </row>
    <row r="46" spans="1:7">
      <c r="A46" s="173" t="s">
        <v>73</v>
      </c>
      <c r="B46" s="33">
        <f t="shared" si="0"/>
        <v>205.30474732006121</v>
      </c>
      <c r="C46" s="34" t="s">
        <v>111</v>
      </c>
      <c r="D46" s="176"/>
    </row>
    <row r="47" spans="1:7">
      <c r="A47" s="173" t="s">
        <v>74</v>
      </c>
      <c r="B47" s="33">
        <f t="shared" si="0"/>
        <v>1505.5681470137827</v>
      </c>
      <c r="C47" s="34" t="s">
        <v>111</v>
      </c>
      <c r="D47" s="176"/>
    </row>
    <row r="48" spans="1:7">
      <c r="A48" s="173" t="s">
        <v>75</v>
      </c>
      <c r="B48" s="33">
        <f t="shared" si="0"/>
        <v>417.1271056661563</v>
      </c>
      <c r="C48" s="33">
        <f>B48*10</f>
        <v>4171.2710566615633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91288.639058027635</v>
      </c>
      <c r="C5" s="17">
        <f>IF(ISERROR('Eigen informatie GS &amp; warmtenet'!B58),0,'Eigen informatie GS &amp; warmtenet'!B58)</f>
        <v>0</v>
      </c>
      <c r="D5" s="30">
        <f>SUM(D6:D12)</f>
        <v>132835.11528034922</v>
      </c>
      <c r="E5" s="17">
        <f>SUM(E6:E12)</f>
        <v>1167.6543381487036</v>
      </c>
      <c r="F5" s="17">
        <f>SUM(F6:F12)</f>
        <v>17525.22187516608</v>
      </c>
      <c r="G5" s="18"/>
      <c r="H5" s="17"/>
      <c r="I5" s="17"/>
      <c r="J5" s="17">
        <f>SUM(J6:J12)</f>
        <v>0</v>
      </c>
      <c r="K5" s="17"/>
      <c r="L5" s="17"/>
      <c r="M5" s="17"/>
      <c r="N5" s="17">
        <f>SUM(N6:N12)</f>
        <v>4817.5678339674459</v>
      </c>
      <c r="O5" s="17">
        <f>B38*B39*B40</f>
        <v>6.2533333333333339</v>
      </c>
      <c r="P5" s="17">
        <f>B46*B47*B48/1000-B46*B47*B48/1000/B49</f>
        <v>95.333333333333343</v>
      </c>
      <c r="R5" s="32"/>
    </row>
    <row r="6" spans="1:18">
      <c r="A6" s="32" t="s">
        <v>54</v>
      </c>
      <c r="B6" s="37">
        <f>B26</f>
        <v>27425.540734970498</v>
      </c>
      <c r="C6" s="33"/>
      <c r="D6" s="37">
        <f>IF(ISERROR(TER_kantoor_gas_kWh/1000),0,TER_kantoor_gas_kWh/1000)*0.902</f>
        <v>39571.816184356161</v>
      </c>
      <c r="E6" s="33">
        <f>$C$26*'E Balans VL '!I12/100/3.6*1000000</f>
        <v>106.55403208063861</v>
      </c>
      <c r="F6" s="33">
        <f>$C$26*('E Balans VL '!L12+'E Balans VL '!N12)/100/3.6*1000000</f>
        <v>4171.1751932643783</v>
      </c>
      <c r="G6" s="34"/>
      <c r="H6" s="33"/>
      <c r="I6" s="33"/>
      <c r="J6" s="33">
        <f>$C$26*('E Balans VL '!D12+'E Balans VL '!E12)/100/3.6*1000000</f>
        <v>0</v>
      </c>
      <c r="K6" s="33"/>
      <c r="L6" s="33"/>
      <c r="M6" s="33"/>
      <c r="N6" s="33">
        <f>$C$26*'E Balans VL '!Y12/100/3.6*1000000</f>
        <v>15.114758443837001</v>
      </c>
      <c r="O6" s="33"/>
      <c r="P6" s="33"/>
      <c r="R6" s="32"/>
    </row>
    <row r="7" spans="1:18">
      <c r="A7" s="32" t="s">
        <v>53</v>
      </c>
      <c r="B7" s="37">
        <f t="shared" ref="B7:B12" si="0">B27</f>
        <v>8453.3755933556095</v>
      </c>
      <c r="C7" s="33"/>
      <c r="D7" s="37">
        <f>IF(ISERROR(TER_horeca_gas_kWh/1000),0,TER_horeca_gas_kWh/1000)*0.902</f>
        <v>18437.226997520593</v>
      </c>
      <c r="E7" s="33">
        <f>$C$27*'E Balans VL '!I9/100/3.6*1000000</f>
        <v>476.18090723190301</v>
      </c>
      <c r="F7" s="33">
        <f>$C$27*('E Balans VL '!L9+'E Balans VL '!N9)/100/3.6*1000000</f>
        <v>2437.4474278583698</v>
      </c>
      <c r="G7" s="34"/>
      <c r="H7" s="33"/>
      <c r="I7" s="33"/>
      <c r="J7" s="33">
        <f>$C$27*('E Balans VL '!D9+'E Balans VL '!E9)/100/3.6*1000000</f>
        <v>0</v>
      </c>
      <c r="K7" s="33"/>
      <c r="L7" s="33"/>
      <c r="M7" s="33"/>
      <c r="N7" s="33">
        <f>$C$27*'E Balans VL '!Y9/100/3.6*1000000</f>
        <v>2.3339330734528621</v>
      </c>
      <c r="O7" s="33"/>
      <c r="P7" s="33"/>
      <c r="R7" s="32"/>
    </row>
    <row r="8" spans="1:18">
      <c r="A8" s="6" t="s">
        <v>52</v>
      </c>
      <c r="B8" s="37">
        <f t="shared" si="0"/>
        <v>32776.740006207001</v>
      </c>
      <c r="C8" s="33"/>
      <c r="D8" s="37">
        <f>IF(ISERROR(TER_handel_gas_kWh/1000),0,TER_handel_gas_kWh/1000)*0.902</f>
        <v>32903.586941803689</v>
      </c>
      <c r="E8" s="33">
        <f>$C$28*'E Balans VL '!I13/100/3.6*1000000</f>
        <v>472.42402390654723</v>
      </c>
      <c r="F8" s="33">
        <f>$C$28*('E Balans VL '!L13+'E Balans VL '!N13)/100/3.6*1000000</f>
        <v>5694.0830578450268</v>
      </c>
      <c r="G8" s="34"/>
      <c r="H8" s="33"/>
      <c r="I8" s="33"/>
      <c r="J8" s="33">
        <f>$C$28*('E Balans VL '!D13+'E Balans VL '!E13)/100/3.6*1000000</f>
        <v>0</v>
      </c>
      <c r="K8" s="33"/>
      <c r="L8" s="33"/>
      <c r="M8" s="33"/>
      <c r="N8" s="33">
        <f>$C$28*'E Balans VL '!Y13/100/3.6*1000000</f>
        <v>98.202761840459132</v>
      </c>
      <c r="O8" s="33"/>
      <c r="P8" s="33"/>
      <c r="R8" s="32"/>
    </row>
    <row r="9" spans="1:18">
      <c r="A9" s="32" t="s">
        <v>51</v>
      </c>
      <c r="B9" s="37">
        <f t="shared" si="0"/>
        <v>7879.8212703857407</v>
      </c>
      <c r="C9" s="33"/>
      <c r="D9" s="37">
        <f>IF(ISERROR(TER_gezond_gas_kWh/1000),0,TER_gezond_gas_kWh/1000)*0.902</f>
        <v>16435.026450560759</v>
      </c>
      <c r="E9" s="33">
        <f>$C$29*'E Balans VL '!I10/100/3.6*1000000</f>
        <v>8.417691491441424</v>
      </c>
      <c r="F9" s="33">
        <f>$C$29*('E Balans VL '!L10+'E Balans VL '!N10)/100/3.6*1000000</f>
        <v>1285.438325954744</v>
      </c>
      <c r="G9" s="34"/>
      <c r="H9" s="33"/>
      <c r="I9" s="33"/>
      <c r="J9" s="33">
        <f>$C$29*('E Balans VL '!D10+'E Balans VL '!E10)/100/3.6*1000000</f>
        <v>0</v>
      </c>
      <c r="K9" s="33"/>
      <c r="L9" s="33"/>
      <c r="M9" s="33"/>
      <c r="N9" s="33">
        <f>$C$29*'E Balans VL '!Y10/100/3.6*1000000</f>
        <v>81.118263842303648</v>
      </c>
      <c r="O9" s="33"/>
      <c r="P9" s="33"/>
      <c r="R9" s="32"/>
    </row>
    <row r="10" spans="1:18">
      <c r="A10" s="32" t="s">
        <v>50</v>
      </c>
      <c r="B10" s="37">
        <f t="shared" si="0"/>
        <v>5940.2215129961296</v>
      </c>
      <c r="C10" s="33"/>
      <c r="D10" s="37">
        <f>IF(ISERROR(TER_ander_gas_kWh/1000),0,TER_ander_gas_kWh/1000)*0.902</f>
        <v>7292.0491194209562</v>
      </c>
      <c r="E10" s="33">
        <f>$C$30*'E Balans VL '!I14/100/3.6*1000000</f>
        <v>27.31817516350144</v>
      </c>
      <c r="F10" s="33">
        <f>$C$30*('E Balans VL '!L14+'E Balans VL '!N14)/100/3.6*1000000</f>
        <v>1780.471758872085</v>
      </c>
      <c r="G10" s="34"/>
      <c r="H10" s="33"/>
      <c r="I10" s="33"/>
      <c r="J10" s="33">
        <f>$C$30*('E Balans VL '!D14+'E Balans VL '!E14)/100/3.6*1000000</f>
        <v>0</v>
      </c>
      <c r="K10" s="33"/>
      <c r="L10" s="33"/>
      <c r="M10" s="33"/>
      <c r="N10" s="33">
        <f>$C$30*'E Balans VL '!Y14/100/3.6*1000000</f>
        <v>4134.7862916335425</v>
      </c>
      <c r="O10" s="33"/>
      <c r="P10" s="33"/>
      <c r="R10" s="32"/>
    </row>
    <row r="11" spans="1:18">
      <c r="A11" s="32" t="s">
        <v>55</v>
      </c>
      <c r="B11" s="37">
        <f t="shared" si="0"/>
        <v>2690.3604725714199</v>
      </c>
      <c r="C11" s="33"/>
      <c r="D11" s="37">
        <f>IF(ISERROR(TER_onderwijs_gas_kWh/1000),0,TER_onderwijs_gas_kWh/1000)*0.902</f>
        <v>8442.7413850592329</v>
      </c>
      <c r="E11" s="33">
        <f>$C$31*'E Balans VL '!I11/100/3.6*1000000</f>
        <v>2.4956631443287201</v>
      </c>
      <c r="F11" s="33">
        <f>$C$31*('E Balans VL '!L11+'E Balans VL '!N11)/100/3.6*1000000</f>
        <v>945.06180052447121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6122.5794675412299</v>
      </c>
      <c r="C12" s="33"/>
      <c r="D12" s="37">
        <f>IF(ISERROR(TER_rest_gas_kWh/1000),0,TER_rest_gas_kWh/1000)*0.902</f>
        <v>9752.6682016278246</v>
      </c>
      <c r="E12" s="33">
        <f>$C$32*'E Balans VL '!I8/100/3.6*1000000</f>
        <v>74.263845130343057</v>
      </c>
      <c r="F12" s="33">
        <f>$C$32*('E Balans VL '!L8+'E Balans VL '!N8)/100/3.6*1000000</f>
        <v>1211.5443108470083</v>
      </c>
      <c r="G12" s="34"/>
      <c r="H12" s="33"/>
      <c r="I12" s="33"/>
      <c r="J12" s="33">
        <f>$C$32*('E Balans VL '!D8+'E Balans VL '!E8)/100/3.6*1000000</f>
        <v>0</v>
      </c>
      <c r="K12" s="33"/>
      <c r="L12" s="33"/>
      <c r="M12" s="33"/>
      <c r="N12" s="33">
        <f>$C$32*'E Balans VL '!Y8/100/3.6*1000000</f>
        <v>486.01182513385078</v>
      </c>
      <c r="O12" s="33"/>
      <c r="P12" s="33"/>
      <c r="R12" s="32"/>
    </row>
    <row r="13" spans="1:18">
      <c r="A13" s="16" t="s">
        <v>497</v>
      </c>
      <c r="B13" s="249">
        <f ca="1">'lokale energieproductie'!N90+'lokale energieproductie'!N59</f>
        <v>1656</v>
      </c>
      <c r="C13" s="249">
        <f ca="1">'lokale energieproductie'!O90+'lokale energieproductie'!O59</f>
        <v>1575.0000000000002</v>
      </c>
      <c r="D13" s="312">
        <f ca="1">('lokale energieproductie'!P59+'lokale energieproductie'!P90)*(-1)</f>
        <v>-2100.0000000000005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92944.639058027635</v>
      </c>
      <c r="C16" s="21">
        <f t="shared" ca="1" si="1"/>
        <v>1575.0000000000002</v>
      </c>
      <c r="D16" s="21">
        <f t="shared" ca="1" si="1"/>
        <v>130735.11528034922</v>
      </c>
      <c r="E16" s="21">
        <f t="shared" si="1"/>
        <v>1167.6543381487036</v>
      </c>
      <c r="F16" s="21">
        <f t="shared" ca="1" si="1"/>
        <v>17525.22187516608</v>
      </c>
      <c r="G16" s="21">
        <f t="shared" si="1"/>
        <v>0</v>
      </c>
      <c r="H16" s="21">
        <f t="shared" si="1"/>
        <v>0</v>
      </c>
      <c r="I16" s="21">
        <f t="shared" si="1"/>
        <v>0</v>
      </c>
      <c r="J16" s="21">
        <f t="shared" si="1"/>
        <v>0</v>
      </c>
      <c r="K16" s="21">
        <f t="shared" si="1"/>
        <v>0</v>
      </c>
      <c r="L16" s="21">
        <f t="shared" ca="1" si="1"/>
        <v>0</v>
      </c>
      <c r="M16" s="21">
        <f t="shared" si="1"/>
        <v>0</v>
      </c>
      <c r="N16" s="21">
        <f t="shared" ca="1" si="1"/>
        <v>986.13926253887439</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0.21206439349911121</v>
      </c>
      <c r="C18" s="25">
        <f ca="1">'EF ele_warmte'!B22</f>
        <v>0.23654780166615538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19710.248510834434</v>
      </c>
      <c r="C20" s="23">
        <f t="shared" ref="C20:P20" ca="1" si="2">C16*C18</f>
        <v>372.56278762419475</v>
      </c>
      <c r="D20" s="23">
        <f t="shared" ca="1" si="2"/>
        <v>26408.493286630543</v>
      </c>
      <c r="E20" s="23">
        <f t="shared" si="2"/>
        <v>265.0575347597557</v>
      </c>
      <c r="F20" s="23">
        <f t="shared" ca="1" si="2"/>
        <v>4679.2342406693433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27425.540734970498</v>
      </c>
      <c r="C26" s="39">
        <f>IF(ISERROR(B26*3.6/1000000/'E Balans VL '!Z12*100),0,B26*3.6/1000000/'E Balans VL '!Z12*100)</f>
        <v>0.58253207005764751</v>
      </c>
      <c r="D26" s="239" t="s">
        <v>692</v>
      </c>
      <c r="F26" s="6"/>
    </row>
    <row r="27" spans="1:18">
      <c r="A27" s="233" t="s">
        <v>53</v>
      </c>
      <c r="B27" s="33">
        <f>IF(ISERROR(TER_horeca_ele_kWh/1000),0,TER_horeca_ele_kWh/1000)</f>
        <v>8453.3755933556095</v>
      </c>
      <c r="C27" s="39">
        <f>IF(ISERROR(B27*3.6/1000000/'E Balans VL '!Z9*100),0,B27*3.6/1000000/'E Balans VL '!Z9*100)</f>
        <v>0.65730143410262587</v>
      </c>
      <c r="D27" s="239" t="s">
        <v>692</v>
      </c>
      <c r="F27" s="6"/>
    </row>
    <row r="28" spans="1:18">
      <c r="A28" s="173" t="s">
        <v>52</v>
      </c>
      <c r="B28" s="33">
        <f>IF(ISERROR(TER_handel_ele_kWh/1000),0,TER_handel_ele_kWh/1000)</f>
        <v>32776.740006207001</v>
      </c>
      <c r="C28" s="39">
        <f>IF(ISERROR(B28*3.6/1000000/'E Balans VL '!Z13*100),0,B28*3.6/1000000/'E Balans VL '!Z13*100)</f>
        <v>0.93778110594177999</v>
      </c>
      <c r="D28" s="239" t="s">
        <v>692</v>
      </c>
      <c r="F28" s="6"/>
    </row>
    <row r="29" spans="1:18">
      <c r="A29" s="233" t="s">
        <v>51</v>
      </c>
      <c r="B29" s="33">
        <f>IF(ISERROR(TER_gezond_ele_kWh/1000),0,TER_gezond_ele_kWh/1000)</f>
        <v>7879.8212703857407</v>
      </c>
      <c r="C29" s="39">
        <f>IF(ISERROR(B29*3.6/1000000/'E Balans VL '!Z10*100),0,B29*3.6/1000000/'E Balans VL '!Z10*100)</f>
        <v>0.8590836235582423</v>
      </c>
      <c r="D29" s="239" t="s">
        <v>692</v>
      </c>
      <c r="F29" s="6"/>
    </row>
    <row r="30" spans="1:18">
      <c r="A30" s="233" t="s">
        <v>50</v>
      </c>
      <c r="B30" s="33">
        <f>IF(ISERROR(TER_ander_ele_kWh/1000),0,TER_ander_ele_kWh/1000)</f>
        <v>5940.2215129961296</v>
      </c>
      <c r="C30" s="39">
        <f>IF(ISERROR(B30*3.6/1000000/'E Balans VL '!Z14*100),0,B30*3.6/1000000/'E Balans VL '!Z14*100)</f>
        <v>0.43469193524798722</v>
      </c>
      <c r="D30" s="239" t="s">
        <v>692</v>
      </c>
      <c r="F30" s="6"/>
    </row>
    <row r="31" spans="1:18">
      <c r="A31" s="233" t="s">
        <v>55</v>
      </c>
      <c r="B31" s="33">
        <f>IF(ISERROR(TER_onderwijs_ele_kWh/1000),0,TER_onderwijs_ele_kWh/1000)</f>
        <v>2690.3604725714199</v>
      </c>
      <c r="C31" s="39">
        <f>IF(ISERROR(B31*3.6/1000000/'E Balans VL '!Z11*100),0,B31*3.6/1000000/'E Balans VL '!Z11*100)</f>
        <v>0.54036089872256721</v>
      </c>
      <c r="D31" s="239" t="s">
        <v>692</v>
      </c>
    </row>
    <row r="32" spans="1:18">
      <c r="A32" s="233" t="s">
        <v>260</v>
      </c>
      <c r="B32" s="33">
        <f>IF(ISERROR(TER_rest_ele_kWh/1000),0,TER_rest_ele_kWh/1000)</f>
        <v>6122.5794675412299</v>
      </c>
      <c r="C32" s="39">
        <f>IF(ISERROR(B32*3.6/1000000/'E Balans VL '!Z8*100),0,B32*3.6/1000000/'E Balans VL '!Z8*100)</f>
        <v>4.9895307055769056E-2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5</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183511.4238306513</v>
      </c>
      <c r="C5" s="17">
        <f>IF(ISERROR('Eigen informatie GS &amp; warmtenet'!B59),0,'Eigen informatie GS &amp; warmtenet'!B59)</f>
        <v>0</v>
      </c>
      <c r="D5" s="30">
        <f>SUM(D6:D15)</f>
        <v>168626.65430034339</v>
      </c>
      <c r="E5" s="17">
        <f>SUM(E6:E15)</f>
        <v>10447.033733386688</v>
      </c>
      <c r="F5" s="17">
        <f>SUM(F6:F15)</f>
        <v>60955.553316212099</v>
      </c>
      <c r="G5" s="18"/>
      <c r="H5" s="17"/>
      <c r="I5" s="17"/>
      <c r="J5" s="17">
        <f>SUM(J6:J15)</f>
        <v>280.48500112584759</v>
      </c>
      <c r="K5" s="17"/>
      <c r="L5" s="17"/>
      <c r="M5" s="17"/>
      <c r="N5" s="17">
        <f>SUM(N6:N15)</f>
        <v>96424.496585744986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592.11229132476899</v>
      </c>
      <c r="C8" s="33"/>
      <c r="D8" s="37">
        <f>IF( ISERROR(IND_metaal_Gas_kWH/1000),0,IND_metaal_Gas_kWH/1000)*0.902</f>
        <v>1161.3325848494483</v>
      </c>
      <c r="E8" s="33">
        <f>C30*'E Balans VL '!I18/100/3.6*1000000</f>
        <v>17.007687523733832</v>
      </c>
      <c r="F8" s="33">
        <f>C30*'E Balans VL '!L18/100/3.6*1000000+C30*'E Balans VL '!N18/100/3.6*1000000</f>
        <v>151.86541476886327</v>
      </c>
      <c r="G8" s="34"/>
      <c r="H8" s="33"/>
      <c r="I8" s="33"/>
      <c r="J8" s="40">
        <f>C30*'E Balans VL '!D18/100/3.6*1000000+C30*'E Balans VL '!E18/100/3.6*1000000</f>
        <v>0</v>
      </c>
      <c r="K8" s="33"/>
      <c r="L8" s="33"/>
      <c r="M8" s="33"/>
      <c r="N8" s="33">
        <f>C30*'E Balans VL '!Y18/100/3.6*1000000</f>
        <v>16.077057381896029</v>
      </c>
      <c r="O8" s="33"/>
      <c r="P8" s="33"/>
      <c r="R8" s="32"/>
    </row>
    <row r="9" spans="1:18">
      <c r="A9" s="6" t="s">
        <v>33</v>
      </c>
      <c r="B9" s="37">
        <f t="shared" si="0"/>
        <v>9416.8390210304296</v>
      </c>
      <c r="C9" s="33"/>
      <c r="D9" s="37">
        <f>IF( ISERROR(IND_andere_gas_kWh/1000),0,IND_andere_gas_kWh/1000)*0.902</f>
        <v>8039.1665805001585</v>
      </c>
      <c r="E9" s="33">
        <f>C31*'E Balans VL '!I19/100/3.6*1000000</f>
        <v>2548.9067907910562</v>
      </c>
      <c r="F9" s="33">
        <f>C31*'E Balans VL '!L19/100/3.6*1000000+C31*'E Balans VL '!N19/100/3.6*1000000</f>
        <v>6272.611297735858</v>
      </c>
      <c r="G9" s="34"/>
      <c r="H9" s="33"/>
      <c r="I9" s="33"/>
      <c r="J9" s="40">
        <f>C31*'E Balans VL '!D19/100/3.6*1000000+C31*'E Balans VL '!E19/100/3.6*1000000</f>
        <v>0</v>
      </c>
      <c r="K9" s="33"/>
      <c r="L9" s="33"/>
      <c r="M9" s="33"/>
      <c r="N9" s="33">
        <f>C31*'E Balans VL '!Y19/100/3.6*1000000</f>
        <v>3074.4415132784152</v>
      </c>
      <c r="O9" s="33"/>
      <c r="P9" s="33"/>
      <c r="R9" s="32"/>
    </row>
    <row r="10" spans="1:18">
      <c r="A10" s="6" t="s">
        <v>41</v>
      </c>
      <c r="B10" s="37">
        <f t="shared" si="0"/>
        <v>17615.480681045199</v>
      </c>
      <c r="C10" s="33"/>
      <c r="D10" s="37">
        <f>IF( ISERROR(IND_voed_gas_kWh/1000),0,IND_voed_gas_kWh/1000)*0.902</f>
        <v>28592.088519991317</v>
      </c>
      <c r="E10" s="33">
        <f>C32*'E Balans VL '!I20/100/3.6*1000000</f>
        <v>1436.7590748598136</v>
      </c>
      <c r="F10" s="33">
        <f>C32*'E Balans VL '!L20/100/3.6*1000000+C32*'E Balans VL '!N20/100/3.6*1000000</f>
        <v>26266.279911883561</v>
      </c>
      <c r="G10" s="34"/>
      <c r="H10" s="33"/>
      <c r="I10" s="33"/>
      <c r="J10" s="40">
        <f>C32*'E Balans VL '!D20/100/3.6*1000000+C32*'E Balans VL '!E20/100/3.6*1000000</f>
        <v>0.23303142708513314</v>
      </c>
      <c r="K10" s="33"/>
      <c r="L10" s="33"/>
      <c r="M10" s="33"/>
      <c r="N10" s="33">
        <f>C32*'E Balans VL '!Y20/100/3.6*1000000</f>
        <v>5174.8066408018412</v>
      </c>
      <c r="O10" s="33"/>
      <c r="P10" s="33"/>
      <c r="R10" s="32"/>
    </row>
    <row r="11" spans="1:18">
      <c r="A11" s="6" t="s">
        <v>40</v>
      </c>
      <c r="B11" s="37">
        <f t="shared" si="0"/>
        <v>34.666434617599101</v>
      </c>
      <c r="C11" s="33"/>
      <c r="D11" s="37">
        <f>IF( ISERROR(IND_textiel_gas_kWh/1000),0,IND_textiel_gas_kWh/1000)*0.902</f>
        <v>100.67912008280112</v>
      </c>
      <c r="E11" s="33">
        <f>C33*'E Balans VL '!I21/100/3.6*1000000</f>
        <v>6.8715966063983766E-3</v>
      </c>
      <c r="F11" s="33">
        <f>C33*'E Balans VL '!L21/100/3.6*1000000+C33*'E Balans VL '!N21/100/3.6*1000000</f>
        <v>1.2768066121530608</v>
      </c>
      <c r="G11" s="34"/>
      <c r="H11" s="33"/>
      <c r="I11" s="33"/>
      <c r="J11" s="40">
        <f>C33*'E Balans VL '!D21/100/3.6*1000000+C33*'E Balans VL '!E21/100/3.6*1000000</f>
        <v>0</v>
      </c>
      <c r="K11" s="33"/>
      <c r="L11" s="33"/>
      <c r="M11" s="33"/>
      <c r="N11" s="33">
        <f>C33*'E Balans VL '!Y21/100/3.6*1000000</f>
        <v>0.16119016971306382</v>
      </c>
      <c r="O11" s="33"/>
      <c r="P11" s="33"/>
      <c r="R11" s="32"/>
    </row>
    <row r="12" spans="1:18">
      <c r="A12" s="6" t="s">
        <v>37</v>
      </c>
      <c r="B12" s="37">
        <f t="shared" si="0"/>
        <v>511.63617424179603</v>
      </c>
      <c r="C12" s="33"/>
      <c r="D12" s="37">
        <f>IF( ISERROR(IND_min_gas_kWh/1000),0,IND_min_gas_kWh/1000)*0.902</f>
        <v>0</v>
      </c>
      <c r="E12" s="33">
        <f>C34*'E Balans VL '!I22/100/3.6*1000000</f>
        <v>3.9855343165664641</v>
      </c>
      <c r="F12" s="33">
        <f>C34*'E Balans VL '!L22/100/3.6*1000000+C34*'E Balans VL '!N22/100/3.6*1000000</f>
        <v>192.95772392081955</v>
      </c>
      <c r="G12" s="34"/>
      <c r="H12" s="33"/>
      <c r="I12" s="33"/>
      <c r="J12" s="40">
        <f>C34*'E Balans VL '!D22/100/3.6*1000000+C34*'E Balans VL '!E22/100/3.6*1000000</f>
        <v>2.8139542244813822</v>
      </c>
      <c r="K12" s="33"/>
      <c r="L12" s="33"/>
      <c r="M12" s="33"/>
      <c r="N12" s="33">
        <f>C34*'E Balans VL '!Y22/100/3.6*1000000</f>
        <v>0</v>
      </c>
      <c r="O12" s="33"/>
      <c r="P12" s="33"/>
      <c r="R12" s="32"/>
    </row>
    <row r="13" spans="1:18">
      <c r="A13" s="6" t="s">
        <v>39</v>
      </c>
      <c r="B13" s="37">
        <f t="shared" si="0"/>
        <v>31125.703280311598</v>
      </c>
      <c r="C13" s="33"/>
      <c r="D13" s="37">
        <f>IF( ISERROR(IND_papier_gas_kWh/1000),0,IND_papier_gas_kWh/1000)*0.902</f>
        <v>29209.989875820254</v>
      </c>
      <c r="E13" s="33">
        <f>C35*'E Balans VL '!I23/100/3.6*1000000</f>
        <v>326.0984459724566</v>
      </c>
      <c r="F13" s="33">
        <f>C35*'E Balans VL '!L23/100/3.6*1000000+C35*'E Balans VL '!N23/100/3.6*1000000</f>
        <v>2322.6054956842822</v>
      </c>
      <c r="G13" s="34"/>
      <c r="H13" s="33"/>
      <c r="I13" s="33"/>
      <c r="J13" s="40">
        <f>C35*'E Balans VL '!D23/100/3.6*1000000+C35*'E Balans VL '!E23/100/3.6*1000000</f>
        <v>0</v>
      </c>
      <c r="K13" s="33"/>
      <c r="L13" s="33"/>
      <c r="M13" s="33"/>
      <c r="N13" s="33">
        <f>C35*'E Balans VL '!Y23/100/3.6*1000000</f>
        <v>66527.941959469099</v>
      </c>
      <c r="O13" s="33"/>
      <c r="P13" s="33"/>
      <c r="R13" s="32"/>
    </row>
    <row r="14" spans="1:18">
      <c r="A14" s="6" t="s">
        <v>34</v>
      </c>
      <c r="B14" s="37">
        <f t="shared" si="0"/>
        <v>15970.269454785901</v>
      </c>
      <c r="C14" s="33"/>
      <c r="D14" s="37">
        <f>IF( ISERROR(IND_chemie_gas_kWh/1000),0,IND_chemie_gas_kWh/1000)*0.902</f>
        <v>15095.68745328862</v>
      </c>
      <c r="E14" s="33">
        <f>C36*'E Balans VL '!I24/100/3.6*1000000</f>
        <v>75.495214014797526</v>
      </c>
      <c r="F14" s="33">
        <f>C36*'E Balans VL '!L24/100/3.6*1000000+C36*'E Balans VL '!N24/100/3.6*1000000</f>
        <v>301.82952047678293</v>
      </c>
      <c r="G14" s="34"/>
      <c r="H14" s="33"/>
      <c r="I14" s="33"/>
      <c r="J14" s="40">
        <f>C36*'E Balans VL '!D24/100/3.6*1000000+C36*'E Balans VL '!E24/100/3.6*1000000</f>
        <v>0</v>
      </c>
      <c r="K14" s="33"/>
      <c r="L14" s="33"/>
      <c r="M14" s="33"/>
      <c r="N14" s="33">
        <f>C36*'E Balans VL '!Y24/100/3.6*1000000</f>
        <v>387.70411444306836</v>
      </c>
      <c r="O14" s="33"/>
      <c r="P14" s="33"/>
      <c r="R14" s="32"/>
    </row>
    <row r="15" spans="1:18">
      <c r="A15" s="6" t="s">
        <v>270</v>
      </c>
      <c r="B15" s="37">
        <f t="shared" si="0"/>
        <v>108244.71649329401</v>
      </c>
      <c r="C15" s="33"/>
      <c r="D15" s="37">
        <f>IF( ISERROR(IND_rest_gas_kWh/1000),0,IND_rest_gas_kWh/1000)*0.902</f>
        <v>86427.7101658108</v>
      </c>
      <c r="E15" s="33">
        <f>C37*'E Balans VL '!I15/100/3.6*1000000</f>
        <v>6038.7741143116564</v>
      </c>
      <c r="F15" s="33">
        <f>C37*'E Balans VL '!L15/100/3.6*1000000+C37*'E Balans VL '!N15/100/3.6*1000000</f>
        <v>25446.127145129773</v>
      </c>
      <c r="G15" s="34"/>
      <c r="H15" s="33"/>
      <c r="I15" s="33"/>
      <c r="J15" s="40">
        <f>C37*'E Balans VL '!D15/100/3.6*1000000+C37*'E Balans VL '!E15/100/3.6*1000000</f>
        <v>277.43801547428109</v>
      </c>
      <c r="K15" s="33"/>
      <c r="L15" s="33"/>
      <c r="M15" s="33"/>
      <c r="N15" s="33">
        <f>C37*'E Balans VL '!Y15/100/3.6*1000000</f>
        <v>21243.364110200964</v>
      </c>
      <c r="O15" s="33"/>
      <c r="P15" s="33"/>
      <c r="R15" s="32"/>
    </row>
    <row r="16" spans="1:18">
      <c r="A16" s="16" t="s">
        <v>497</v>
      </c>
      <c r="B16" s="249">
        <f>'lokale energieproductie'!N89+'lokale energieproductie'!N58</f>
        <v>8568.75</v>
      </c>
      <c r="C16" s="249">
        <f>'lokale energieproductie'!O89+'lokale energieproductie'!O58</f>
        <v>12241.071428571428</v>
      </c>
      <c r="D16" s="312">
        <f>('lokale energieproductie'!P58+'lokale energieproductie'!P89)*(-1)</f>
        <v>-24482.142857142862</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192080.1738306513</v>
      </c>
      <c r="C18" s="21">
        <f>C5+C16</f>
        <v>12241.071428571428</v>
      </c>
      <c r="D18" s="21">
        <f>MAX((D5+D16),0)</f>
        <v>144144.51144320052</v>
      </c>
      <c r="E18" s="21">
        <f>MAX((E5+E16),0)</f>
        <v>10447.033733386688</v>
      </c>
      <c r="F18" s="21">
        <f>MAX((F5+F16),0)</f>
        <v>60955.553316212099</v>
      </c>
      <c r="G18" s="21"/>
      <c r="H18" s="21"/>
      <c r="I18" s="21"/>
      <c r="J18" s="21">
        <f>MAX((J5+J16),0)</f>
        <v>280.48500112584759</v>
      </c>
      <c r="K18" s="21"/>
      <c r="L18" s="21">
        <f>MAX((L5+L16),0)</f>
        <v>0</v>
      </c>
      <c r="M18" s="21"/>
      <c r="N18" s="21">
        <f>MAX((N5+N16),0)</f>
        <v>96424.496585744986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0.21206439349911121</v>
      </c>
      <c r="C20" s="25">
        <f ca="1">'EF ele_warmte'!B22</f>
        <v>0.23654780166615538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40733.365566600922</v>
      </c>
      <c r="C22" s="23">
        <f ca="1">C18*C20</f>
        <v>2895.5985364669555</v>
      </c>
      <c r="D22" s="23">
        <f>D18*D20</f>
        <v>29117.191311526509</v>
      </c>
      <c r="E22" s="23">
        <f>E18*E20</f>
        <v>2371.4766574787782</v>
      </c>
      <c r="F22" s="23">
        <f>F18*F20</f>
        <v>16275.132735428631</v>
      </c>
      <c r="G22" s="23"/>
      <c r="H22" s="23"/>
      <c r="I22" s="23"/>
      <c r="J22" s="23">
        <f>J18*J20</f>
        <v>99.291690398550045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592.11229132476899</v>
      </c>
      <c r="C30" s="39">
        <f>IF(ISERROR(B30*3.6/1000000/'E Balans VL '!Z18*100),0,B30*3.6/1000000/'E Balans VL '!Z18*100)</f>
        <v>5.8262337964690318E-2</v>
      </c>
      <c r="D30" s="239" t="s">
        <v>692</v>
      </c>
    </row>
    <row r="31" spans="1:18">
      <c r="A31" s="6" t="s">
        <v>33</v>
      </c>
      <c r="B31" s="37">
        <f>IF( ISERROR(IND_ander_ele_kWh/1000),0,IND_ander_ele_kWh/1000)</f>
        <v>9416.8390210304296</v>
      </c>
      <c r="C31" s="39">
        <f>IF(ISERROR(B31*3.6/1000000/'E Balans VL '!Z19*100),0,B31*3.6/1000000/'E Balans VL '!Z19*100)</f>
        <v>0.41009582762738361</v>
      </c>
      <c r="D31" s="239" t="s">
        <v>692</v>
      </c>
    </row>
    <row r="32" spans="1:18">
      <c r="A32" s="173" t="s">
        <v>41</v>
      </c>
      <c r="B32" s="37">
        <f>IF( ISERROR(IND_voed_ele_kWh/1000),0,IND_voed_ele_kWh/1000)</f>
        <v>17615.480681045199</v>
      </c>
      <c r="C32" s="39">
        <f>IF(ISERROR(B32*3.6/1000000/'E Balans VL '!Z20*100),0,B32*3.6/1000000/'E Balans VL '!Z20*100)</f>
        <v>3.3422834163603441</v>
      </c>
      <c r="D32" s="239" t="s">
        <v>692</v>
      </c>
    </row>
    <row r="33" spans="1:5">
      <c r="A33" s="173" t="s">
        <v>40</v>
      </c>
      <c r="B33" s="37">
        <f>IF( ISERROR(IND_textiel_ele_kWh/1000),0,IND_textiel_ele_kWh/1000)</f>
        <v>34.666434617599101</v>
      </c>
      <c r="C33" s="39">
        <f>IF(ISERROR(B33*3.6/1000000/'E Balans VL '!Z21*100),0,B33*3.6/1000000/'E Balans VL '!Z21*100)</f>
        <v>1.9792776143223605E-3</v>
      </c>
      <c r="D33" s="239" t="s">
        <v>692</v>
      </c>
    </row>
    <row r="34" spans="1:5">
      <c r="A34" s="173" t="s">
        <v>37</v>
      </c>
      <c r="B34" s="37">
        <f>IF( ISERROR(IND_min_ele_kWh/1000),0,IND_min_ele_kWh/1000)</f>
        <v>511.63617424179603</v>
      </c>
      <c r="C34" s="39">
        <f>IF(ISERROR(B34*3.6/1000000/'E Balans VL '!Z22*100),0,B34*3.6/1000000/'E Balans VL '!Z22*100)</f>
        <v>7.1941183788718346E-2</v>
      </c>
      <c r="D34" s="239" t="s">
        <v>692</v>
      </c>
    </row>
    <row r="35" spans="1:5">
      <c r="A35" s="173" t="s">
        <v>39</v>
      </c>
      <c r="B35" s="37">
        <f>IF( ISERROR(IND_papier_ele_kWh/1000),0,IND_papier_ele_kWh/1000)</f>
        <v>31125.703280311598</v>
      </c>
      <c r="C35" s="39">
        <f>IF(ISERROR(B35*3.6/1000000/'E Balans VL '!Z22*100),0,B35*3.6/1000000/'E Balans VL '!Z22*100)</f>
        <v>4.3765864357819408</v>
      </c>
      <c r="D35" s="239" t="s">
        <v>692</v>
      </c>
    </row>
    <row r="36" spans="1:5">
      <c r="A36" s="173" t="s">
        <v>34</v>
      </c>
      <c r="B36" s="37">
        <f>IF( ISERROR(IND_chemie_ele_kWh/1000),0,IND_chemie_ele_kWh/1000)</f>
        <v>15970.269454785901</v>
      </c>
      <c r="C36" s="39">
        <f>IF(ISERROR(B36*3.6/1000000/'E Balans VL '!Z24*100),0,B36*3.6/1000000/'E Balans VL '!Z24*100)</f>
        <v>0.46542084313934662</v>
      </c>
      <c r="D36" s="239" t="s">
        <v>692</v>
      </c>
    </row>
    <row r="37" spans="1:5">
      <c r="A37" s="173" t="s">
        <v>270</v>
      </c>
      <c r="B37" s="37">
        <f>IF( ISERROR(IND_rest_ele_kWh/1000),0,IND_rest_ele_kWh/1000)</f>
        <v>108244.71649329401</v>
      </c>
      <c r="C37" s="39">
        <f>IF(ISERROR(B37*3.6/1000000/'E Balans VL '!Z15*100),0,B37*3.6/1000000/'E Balans VL '!Z15*100)</f>
        <v>0.83415849249786955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1580.3563800353609</v>
      </c>
      <c r="C5" s="17">
        <f>'Eigen informatie GS &amp; warmtenet'!B60</f>
        <v>0</v>
      </c>
      <c r="D5" s="30">
        <f>IF(ISERROR(SUM(LB_lb_gas_kWh,LB_rest_gas_kWh,onbekend_gas_kWh)/1000),0,SUM(LB_lb_gas_kWh,LB_rest_gas_kWh,onbekend_gas_kWh)/1000)*0.902</f>
        <v>19987.062846448291</v>
      </c>
      <c r="E5" s="17">
        <f>B17*'E Balans VL '!I25/3.6*1000000/100</f>
        <v>19.914526301406028</v>
      </c>
      <c r="F5" s="17">
        <f>B17*('E Balans VL '!L25/3.6*1000000+'E Balans VL '!N25/3.6*1000000)/100</f>
        <v>5452.6254140513638</v>
      </c>
      <c r="G5" s="18"/>
      <c r="H5" s="17"/>
      <c r="I5" s="17"/>
      <c r="J5" s="17">
        <f>('E Balans VL '!D25+'E Balans VL '!E25)/3.6*1000000*landbouw!B17/100</f>
        <v>237.66763470002883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1580.3563800353609</v>
      </c>
      <c r="C8" s="21">
        <f>C5+C6</f>
        <v>0</v>
      </c>
      <c r="D8" s="21">
        <f>MAX((D5+D6),0)</f>
        <v>19987.062846448291</v>
      </c>
      <c r="E8" s="21">
        <f>MAX((E5+E6),0)</f>
        <v>19.914526301406028</v>
      </c>
      <c r="F8" s="21">
        <f>MAX((F5+F6),0)</f>
        <v>5452.6254140513638</v>
      </c>
      <c r="G8" s="21"/>
      <c r="H8" s="21"/>
      <c r="I8" s="21"/>
      <c r="J8" s="21">
        <f>MAX((J5+J6),0)</f>
        <v>237.66763470002883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0.21206439349911121</v>
      </c>
      <c r="C10" s="31">
        <f ca="1">'EF ele_warmte'!B22</f>
        <v>0.23654780166615538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335.13731724464969</v>
      </c>
      <c r="C12" s="23">
        <f ca="1">C8*C10</f>
        <v>0</v>
      </c>
      <c r="D12" s="23">
        <f>D8*D10</f>
        <v>4037.3866949825551</v>
      </c>
      <c r="E12" s="23">
        <f>E8*E10</f>
        <v>4.520597470419168</v>
      </c>
      <c r="F12" s="23">
        <f>F8*F10</f>
        <v>1455.8509855517143</v>
      </c>
      <c r="G12" s="23"/>
      <c r="H12" s="23"/>
      <c r="I12" s="23"/>
      <c r="J12" s="23">
        <f>J8*J10</f>
        <v>84.134342683810203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0.22040990507311695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249.3604551554136</v>
      </c>
      <c r="C26" s="249">
        <f>B26*'GWP N2O_CH4'!B5</f>
        <v>5236.5695582636854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93.876049901595579</v>
      </c>
      <c r="C27" s="249">
        <f>B27*'GWP N2O_CH4'!B5</f>
        <v>1971.3970479335071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6.1285276306912966</v>
      </c>
      <c r="C28" s="249">
        <f>B28*'GWP N2O_CH4'!B4</f>
        <v>1899.8435655143019</v>
      </c>
      <c r="D28" s="50"/>
    </row>
    <row r="29" spans="1:4">
      <c r="A29" s="41" t="s">
        <v>277</v>
      </c>
      <c r="B29" s="249">
        <f>B34*'ha_N2O bodem landbouw'!B4</f>
        <v>13.336881484564135</v>
      </c>
      <c r="C29" s="249">
        <f>B29*'GWP N2O_CH4'!B4</f>
        <v>4134.4332602148816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3.3300860408563928E-3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4.767884651945764E-5</v>
      </c>
      <c r="C5" s="448" t="s">
        <v>211</v>
      </c>
      <c r="D5" s="433">
        <f>SUM(D6:D11)</f>
        <v>7.467848102319009E-5</v>
      </c>
      <c r="E5" s="433">
        <f>SUM(E6:E11)</f>
        <v>2.4475668912543455E-3</v>
      </c>
      <c r="F5" s="446" t="s">
        <v>211</v>
      </c>
      <c r="G5" s="433">
        <f>SUM(G6:G11)</f>
        <v>0.70896489912717087</v>
      </c>
      <c r="H5" s="433">
        <f>SUM(H6:H11)</f>
        <v>0.11341629746058988</v>
      </c>
      <c r="I5" s="448" t="s">
        <v>211</v>
      </c>
      <c r="J5" s="448" t="s">
        <v>211</v>
      </c>
      <c r="K5" s="448" t="s">
        <v>211</v>
      </c>
      <c r="L5" s="448" t="s">
        <v>211</v>
      </c>
      <c r="M5" s="433">
        <f>SUM(M6:M11)</f>
        <v>3.7169265833403381E-2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2.9921460533862365E-5</v>
      </c>
      <c r="C6" s="949"/>
      <c r="D6" s="949">
        <f>vkm_2011_GW_PW*SUMIFS(TableVerdeelsleutelVkm[CNG],TableVerdeelsleutelVkm[Voertuigtype],"Lichte voertuigen")*SUMIFS(TableECFTransport[EnergieConsumptieFactor (PJ per km)],TableECFTransport[Index],CONCATENATE($A6,"_CNG_CNG"))</f>
        <v>4.2374640173585445E-5</v>
      </c>
      <c r="E6" s="949">
        <f>vkm_2011_GW_PW*SUMIFS(TableVerdeelsleutelVkm[LPG],TableVerdeelsleutelVkm[Voertuigtype],"Lichte voertuigen")*SUMIFS(TableECFTransport[EnergieConsumptieFactor (PJ per km)],TableECFTransport[Index],CONCATENATE($A6,"_LPG_LPG"))</f>
        <v>1.3308479468540123E-3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0.23918981738036427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6.4092836232454972E-2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1.3721476320817622E-2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0.13504642263068553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4.798059396649348E-5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6.0942176608742536E-3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5.7895709276019132E-6</v>
      </c>
      <c r="C8" s="949"/>
      <c r="D8" s="436">
        <f>vkm_2011_NGW_PW*SUMIFS(TableVerdeelsleutelVkm[CNG],TableVerdeelsleutelVkm[Voertuigtype],"Lichte voertuigen")*SUMIFS(TableECFTransport[EnergieConsumptieFactor (PJ per km)],TableECFTransport[Index],CONCATENATE($A8,"_CNG_CNG"))</f>
        <v>1.4606951827230813E-5</v>
      </c>
      <c r="E8" s="436">
        <f>vkm_2011_NGW_PW*SUMIFS(TableVerdeelsleutelVkm[LPG],TableVerdeelsleutelVkm[Voertuigtype],"Lichte voertuigen")*SUMIFS(TableECFTransport[EnergieConsumptieFactor (PJ per km)],TableECFTransport[Index],CONCATENATE($A8,"_LPG_LPG"))</f>
        <v>4.2254627278433238E-4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7.1625690666713551E-2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2.1317982719775211E-2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4.2061205600497243E-3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6.1931691016602185E-3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2.0821891340940735E-6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2.794727162187016E-4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1.1967815057993365E-5</v>
      </c>
      <c r="C10" s="949"/>
      <c r="D10" s="436">
        <f>vkm_2011_SW_PW*SUMIFS(TableVerdeelsleutelVkm[CNG],TableVerdeelsleutelVkm[Voertuigtype],"Lichte voertuigen")*SUMIFS(TableECFTransport[EnergieConsumptieFactor (PJ per km)],TableECFTransport[Index],CONCATENATE($A10,"_CNG_CNG"))</f>
        <v>1.7696889022373833E-5</v>
      </c>
      <c r="E10" s="436">
        <f>vkm_2011_SW_PW*SUMIFS(TableVerdeelsleutelVkm[LPG],TableVerdeelsleutelVkm[Voertuigtype],"Lichte voertuigen")*SUMIFS(TableECFTransport[EnergieConsumptieFactor (PJ per km)],TableECFTransport[Index],CONCATENATE($A10,"_LPG_LPG"))</f>
        <v>6.9417267161600094E-4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0.11299090351323769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2.7900274072332285E-2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6.3731909252506443E-3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0.14391889583450951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5.5141652926835658E-5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6.4947876501924391E-3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13.244124033182679</v>
      </c>
      <c r="C14" s="21"/>
      <c r="D14" s="21">
        <f t="shared" ref="D14:M14" si="0">((D5)*10^9/3600)+D12</f>
        <v>20.744022506441691</v>
      </c>
      <c r="E14" s="21">
        <f t="shared" si="0"/>
        <v>679.879692015096</v>
      </c>
      <c r="F14" s="21"/>
      <c r="G14" s="21">
        <f t="shared" si="0"/>
        <v>196934.69420199192</v>
      </c>
      <c r="H14" s="21">
        <f t="shared" si="0"/>
        <v>31504.527072386078</v>
      </c>
      <c r="I14" s="21"/>
      <c r="J14" s="21"/>
      <c r="K14" s="21"/>
      <c r="L14" s="21"/>
      <c r="M14" s="21">
        <f t="shared" si="0"/>
        <v>10324.796064834272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0.21206439349911121</v>
      </c>
      <c r="C16" s="56">
        <f ca="1">'EF ele_warmte'!B22</f>
        <v>0.23654780166615538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2.8086071305238876</v>
      </c>
      <c r="C18" s="23"/>
      <c r="D18" s="23">
        <f t="shared" ref="D18:M18" si="1">D14*D16</f>
        <v>4.1902925463012215</v>
      </c>
      <c r="E18" s="23">
        <f t="shared" si="1"/>
        <v>154.33269008742678</v>
      </c>
      <c r="F18" s="23"/>
      <c r="G18" s="23">
        <f t="shared" si="1"/>
        <v>52581.563351931843</v>
      </c>
      <c r="H18" s="23">
        <f t="shared" si="1"/>
        <v>7844.6272410241336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1.8797624176882317E-2</v>
      </c>
      <c r="H50" s="323">
        <f t="shared" si="2"/>
        <v>0</v>
      </c>
      <c r="I50" s="323">
        <f t="shared" si="2"/>
        <v>0</v>
      </c>
      <c r="J50" s="323">
        <f t="shared" si="2"/>
        <v>0</v>
      </c>
      <c r="K50" s="323">
        <f t="shared" si="2"/>
        <v>0</v>
      </c>
      <c r="L50" s="323">
        <f t="shared" si="2"/>
        <v>0</v>
      </c>
      <c r="M50" s="323">
        <f t="shared" si="2"/>
        <v>8.3597632456280555E-4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1.8797624176882317E-2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8.3597632456280555E-4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5221.5622713561988</v>
      </c>
      <c r="H54" s="21">
        <f t="shared" si="3"/>
        <v>0</v>
      </c>
      <c r="I54" s="21">
        <f t="shared" si="3"/>
        <v>0</v>
      </c>
      <c r="J54" s="21">
        <f t="shared" si="3"/>
        <v>0</v>
      </c>
      <c r="K54" s="21">
        <f t="shared" si="3"/>
        <v>0</v>
      </c>
      <c r="L54" s="21">
        <f t="shared" si="3"/>
        <v>0</v>
      </c>
      <c r="M54" s="21">
        <f t="shared" si="3"/>
        <v>232.21564571189043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0.21206439349911121</v>
      </c>
      <c r="C56" s="56">
        <f ca="1">'EF ele_warmte'!B22</f>
        <v>0.23654780166615538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1394.1571264521051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13451.816367667358</v>
      </c>
      <c r="C6" s="1251"/>
      <c r="D6" s="1236"/>
      <c r="E6" s="1236"/>
      <c r="F6" s="1254"/>
      <c r="G6" s="1257"/>
      <c r="H6" s="1248"/>
      <c r="I6" s="1236"/>
      <c r="J6" s="1236"/>
      <c r="K6" s="1236"/>
      <c r="L6" s="1240"/>
      <c r="M6" s="561"/>
      <c r="N6" s="1214"/>
      <c r="O6" s="1215"/>
      <c r="Q6" s="559"/>
      <c r="R6" s="1202"/>
      <c r="S6" s="1202"/>
    </row>
    <row r="7" spans="1:19" s="549" customFormat="1">
      <c r="A7" s="562" t="s">
        <v>252</v>
      </c>
      <c r="B7" s="563">
        <f>N57</f>
        <v>8883.75</v>
      </c>
      <c r="C7" s="564">
        <f>B100</f>
        <v>10403.126401246078</v>
      </c>
      <c r="D7" s="565"/>
      <c r="E7" s="565">
        <f>E100</f>
        <v>0</v>
      </c>
      <c r="F7" s="566"/>
      <c r="G7" s="567"/>
      <c r="H7" s="565">
        <f>I100</f>
        <v>0</v>
      </c>
      <c r="I7" s="565">
        <f>G100+F100</f>
        <v>0</v>
      </c>
      <c r="J7" s="565">
        <f>H100+D100+C100</f>
        <v>0</v>
      </c>
      <c r="K7" s="565"/>
      <c r="L7" s="568"/>
      <c r="M7" s="569">
        <f>C7*$C$11+D7*$D$11+E7*$E$11+F7*$F$11+G7*$G$11+H7*$H$11+I7*$I$11+J7*$J$11</f>
        <v>2101.4315330517079</v>
      </c>
      <c r="N7" s="1214"/>
      <c r="O7" s="1215"/>
      <c r="Q7" s="559"/>
      <c r="R7" s="1202"/>
      <c r="S7" s="1202"/>
    </row>
    <row r="8" spans="1:19" s="549" customFormat="1" ht="17.45" customHeight="1" thickBot="1">
      <c r="A8" s="570" t="s">
        <v>248</v>
      </c>
      <c r="B8" s="571">
        <f>N88+'Eigen informatie GS &amp; warmtenet'!B12</f>
        <v>1341</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23676.566367667358</v>
      </c>
      <c r="C9" s="580">
        <f t="shared" ref="C9:L9" si="0">SUM(C7:C8)</f>
        <v>10403.126401246078</v>
      </c>
      <c r="D9" s="580">
        <f t="shared" si="0"/>
        <v>0</v>
      </c>
      <c r="E9" s="580">
        <f t="shared" si="0"/>
        <v>0</v>
      </c>
      <c r="F9" s="580">
        <f t="shared" si="0"/>
        <v>0</v>
      </c>
      <c r="G9" s="580">
        <f t="shared" si="0"/>
        <v>0</v>
      </c>
      <c r="H9" s="580">
        <f t="shared" si="0"/>
        <v>0</v>
      </c>
      <c r="I9" s="580">
        <f t="shared" si="0"/>
        <v>0</v>
      </c>
      <c r="J9" s="580">
        <f t="shared" si="0"/>
        <v>3831.4285714285716</v>
      </c>
      <c r="K9" s="580">
        <f t="shared" si="0"/>
        <v>0</v>
      </c>
      <c r="L9" s="580">
        <f t="shared" si="0"/>
        <v>0</v>
      </c>
      <c r="M9" s="581">
        <f>SUM(M4:M8)</f>
        <v>2101.4315330517079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13816.071428571428</v>
      </c>
      <c r="C16" s="596">
        <f>B101</f>
        <v>16179.016455896783</v>
      </c>
      <c r="D16" s="597"/>
      <c r="E16" s="597">
        <f>E101</f>
        <v>0</v>
      </c>
      <c r="F16" s="598"/>
      <c r="G16" s="599"/>
      <c r="H16" s="596">
        <f>I101</f>
        <v>0</v>
      </c>
      <c r="I16" s="597">
        <f>G101+F101</f>
        <v>0</v>
      </c>
      <c r="J16" s="597">
        <f>H101+D101+C101</f>
        <v>0</v>
      </c>
      <c r="K16" s="597"/>
      <c r="L16" s="600"/>
      <c r="M16" s="601">
        <f>C16*$C$21+E16*$E$21+H16*$H$21+I16*$I$21+J16*$J$21+D16*$D$21+F16*$F$21+G16*$G$21+K16*$K$21+L16*$L$21</f>
        <v>3268.1613240911502</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13816.071428571428</v>
      </c>
      <c r="C19" s="579">
        <f>SUM(C16:C18)</f>
        <v>16179.016455896783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3268.1613240911502</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13040</v>
      </c>
      <c r="C27" s="839">
        <v>2300</v>
      </c>
      <c r="D27" s="658" t="s">
        <v>878</v>
      </c>
      <c r="E27" s="657" t="s">
        <v>879</v>
      </c>
      <c r="F27" s="657" t="s">
        <v>880</v>
      </c>
      <c r="G27" s="657" t="s">
        <v>881</v>
      </c>
      <c r="H27" s="657" t="s">
        <v>882</v>
      </c>
      <c r="I27" s="657" t="s">
        <v>879</v>
      </c>
      <c r="J27" s="838">
        <v>40329</v>
      </c>
      <c r="K27" s="838">
        <v>40381</v>
      </c>
      <c r="L27" s="657" t="s">
        <v>883</v>
      </c>
      <c r="M27" s="657">
        <v>1375</v>
      </c>
      <c r="N27" s="657">
        <v>6187.5</v>
      </c>
      <c r="O27" s="657">
        <v>8839.2857142857138</v>
      </c>
      <c r="P27" s="657">
        <v>17678.571428571431</v>
      </c>
      <c r="Q27" s="657">
        <v>0</v>
      </c>
      <c r="R27" s="657">
        <v>0</v>
      </c>
      <c r="S27" s="657">
        <v>0</v>
      </c>
      <c r="T27" s="657">
        <v>0</v>
      </c>
      <c r="U27" s="657">
        <v>0</v>
      </c>
      <c r="V27" s="657">
        <v>0</v>
      </c>
      <c r="W27" s="657">
        <v>0</v>
      </c>
      <c r="X27" s="657">
        <v>500</v>
      </c>
      <c r="Y27" s="657" t="s">
        <v>41</v>
      </c>
      <c r="Z27" s="659" t="s">
        <v>390</v>
      </c>
    </row>
    <row r="28" spans="1:26" s="611" customFormat="1" ht="25.5">
      <c r="A28" s="610"/>
      <c r="B28" s="839">
        <v>13040</v>
      </c>
      <c r="C28" s="839">
        <v>2300</v>
      </c>
      <c r="D28" s="658" t="s">
        <v>884</v>
      </c>
      <c r="E28" s="657" t="s">
        <v>885</v>
      </c>
      <c r="F28" s="657" t="s">
        <v>886</v>
      </c>
      <c r="G28" s="657" t="s">
        <v>887</v>
      </c>
      <c r="H28" s="657" t="s">
        <v>887</v>
      </c>
      <c r="I28" s="657" t="s">
        <v>885</v>
      </c>
      <c r="J28" s="838">
        <v>41001</v>
      </c>
      <c r="K28" s="838">
        <v>41153</v>
      </c>
      <c r="L28" s="657" t="s">
        <v>883</v>
      </c>
      <c r="M28" s="657">
        <v>70</v>
      </c>
      <c r="N28" s="657">
        <v>315.00000000000006</v>
      </c>
      <c r="O28" s="657">
        <v>1575.0000000000002</v>
      </c>
      <c r="P28" s="657">
        <v>2100.0000000000005</v>
      </c>
      <c r="Q28" s="657">
        <v>0</v>
      </c>
      <c r="R28" s="657">
        <v>0</v>
      </c>
      <c r="S28" s="657">
        <v>0</v>
      </c>
      <c r="T28" s="657">
        <v>0</v>
      </c>
      <c r="U28" s="657">
        <v>0</v>
      </c>
      <c r="V28" s="657">
        <v>0</v>
      </c>
      <c r="W28" s="657">
        <v>0</v>
      </c>
      <c r="X28" s="657">
        <v>1300</v>
      </c>
      <c r="Y28" s="657" t="s">
        <v>54</v>
      </c>
      <c r="Z28" s="659" t="s">
        <v>156</v>
      </c>
    </row>
    <row r="29" spans="1:26" s="611" customFormat="1" ht="25.5">
      <c r="A29" s="610"/>
      <c r="B29" s="839">
        <v>13040</v>
      </c>
      <c r="C29" s="839">
        <v>2300</v>
      </c>
      <c r="D29" s="658" t="s">
        <v>888</v>
      </c>
      <c r="E29" s="657" t="s">
        <v>889</v>
      </c>
      <c r="F29" s="657" t="s">
        <v>890</v>
      </c>
      <c r="G29" s="657" t="s">
        <v>881</v>
      </c>
      <c r="H29" s="657" t="s">
        <v>882</v>
      </c>
      <c r="I29" s="657" t="s">
        <v>889</v>
      </c>
      <c r="J29" s="838">
        <v>41324</v>
      </c>
      <c r="K29" s="838">
        <v>41324</v>
      </c>
      <c r="L29" s="657" t="s">
        <v>883</v>
      </c>
      <c r="M29" s="657">
        <v>635</v>
      </c>
      <c r="N29" s="657">
        <v>2381.25</v>
      </c>
      <c r="O29" s="657">
        <v>3401.7857142857142</v>
      </c>
      <c r="P29" s="657">
        <v>6803.5714285714294</v>
      </c>
      <c r="Q29" s="657">
        <v>0</v>
      </c>
      <c r="R29" s="657">
        <v>0</v>
      </c>
      <c r="S29" s="657">
        <v>0</v>
      </c>
      <c r="T29" s="657">
        <v>0</v>
      </c>
      <c r="U29" s="657">
        <v>0</v>
      </c>
      <c r="V29" s="657">
        <v>0</v>
      </c>
      <c r="W29" s="657">
        <v>0</v>
      </c>
      <c r="X29" s="657">
        <v>300</v>
      </c>
      <c r="Y29" s="657" t="s">
        <v>891</v>
      </c>
      <c r="Z29" s="659" t="s">
        <v>390</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2080</v>
      </c>
      <c r="N57" s="615">
        <f>SUM(N27:N56)</f>
        <v>8883.75</v>
      </c>
      <c r="O57" s="615">
        <f t="shared" ref="O57:W57" si="2">SUM(O27:O56)</f>
        <v>13816.071428571428</v>
      </c>
      <c r="P57" s="615">
        <f t="shared" si="2"/>
        <v>26582.142857142862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2010</v>
      </c>
      <c r="N58" s="615">
        <f t="shared" ref="N58:W58" si="3">SUMIF($Z$27:$Z$56,"industrie",N27:N56)</f>
        <v>8568.75</v>
      </c>
      <c r="O58" s="615">
        <f t="shared" si="3"/>
        <v>12241.071428571428</v>
      </c>
      <c r="P58" s="615">
        <f t="shared" si="3"/>
        <v>24482.142857142862</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70</v>
      </c>
      <c r="N59" s="615">
        <f ca="1">SUMIF($Z$27:AB56,"tertiair",N27:N56)</f>
        <v>315.00000000000006</v>
      </c>
      <c r="O59" s="615">
        <f ca="1">SUMIF($Z$27:AC56,"tertiair",O27:O56)</f>
        <v>1575.0000000000002</v>
      </c>
      <c r="P59" s="615">
        <f ca="1">SUMIF($Z$27:AD56,"tertiair",P27:P56)</f>
        <v>2100.0000000000005</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13040</v>
      </c>
      <c r="C63" s="839">
        <v>2300</v>
      </c>
      <c r="D63" s="660" t="s">
        <v>892</v>
      </c>
      <c r="E63" s="660" t="s">
        <v>893</v>
      </c>
      <c r="F63" s="660" t="s">
        <v>894</v>
      </c>
      <c r="G63" s="660" t="s">
        <v>895</v>
      </c>
      <c r="H63" s="660" t="s">
        <v>896</v>
      </c>
      <c r="I63" s="660" t="s">
        <v>897</v>
      </c>
      <c r="J63" s="838">
        <v>38768</v>
      </c>
      <c r="K63" s="838">
        <v>39052</v>
      </c>
      <c r="L63" s="660" t="s">
        <v>898</v>
      </c>
      <c r="M63" s="660">
        <v>298</v>
      </c>
      <c r="N63" s="660">
        <v>1341</v>
      </c>
      <c r="O63" s="660">
        <v>0</v>
      </c>
      <c r="P63" s="660">
        <v>0</v>
      </c>
      <c r="Q63" s="660">
        <v>3831.4285714285716</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298</v>
      </c>
      <c r="N88" s="615">
        <f t="shared" ref="N88:W88" si="5">SUM(N63:N87)</f>
        <v>1341</v>
      </c>
      <c r="O88" s="615">
        <f t="shared" si="5"/>
        <v>0</v>
      </c>
      <c r="P88" s="615">
        <f t="shared" si="5"/>
        <v>0</v>
      </c>
      <c r="Q88" s="615">
        <f t="shared" si="5"/>
        <v>3831.4285714285716</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298</v>
      </c>
      <c r="N90" s="615">
        <f t="shared" ref="N90:W90" si="7">SUMIF($Z$63:$Z$88,"tertiair",N63:N88)</f>
        <v>1341</v>
      </c>
      <c r="O90" s="615">
        <f t="shared" si="7"/>
        <v>0</v>
      </c>
      <c r="P90" s="615">
        <f t="shared" si="7"/>
        <v>0</v>
      </c>
      <c r="Q90" s="615">
        <f t="shared" si="7"/>
        <v>3831.4285714285716</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0.6086422958015717</v>
      </c>
      <c r="C97" s="640">
        <f>IF(ISERROR(N57/(O57+N57)),0,N57/(N57+O57))</f>
        <v>0.39135770419842825</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10403.126401246078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16179.016455896783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95524.998058027631</v>
      </c>
      <c r="D10" s="704">
        <f ca="1">tertiair!C16</f>
        <v>1575.0000000000002</v>
      </c>
      <c r="E10" s="704">
        <f ca="1">tertiair!D16</f>
        <v>130735.11528034922</v>
      </c>
      <c r="F10" s="704">
        <f>tertiair!E16</f>
        <v>1167.6543381487036</v>
      </c>
      <c r="G10" s="704">
        <f ca="1">tertiair!F16</f>
        <v>17525.22187516608</v>
      </c>
      <c r="H10" s="704">
        <f>tertiair!G16</f>
        <v>0</v>
      </c>
      <c r="I10" s="704">
        <f>tertiair!H16</f>
        <v>0</v>
      </c>
      <c r="J10" s="704">
        <f>tertiair!I16</f>
        <v>0</v>
      </c>
      <c r="K10" s="704">
        <f>tertiair!J16</f>
        <v>0</v>
      </c>
      <c r="L10" s="704">
        <f>tertiair!K16</f>
        <v>0</v>
      </c>
      <c r="M10" s="704">
        <f ca="1">tertiair!L16</f>
        <v>0</v>
      </c>
      <c r="N10" s="704">
        <f>tertiair!M16</f>
        <v>0</v>
      </c>
      <c r="O10" s="704">
        <f ca="1">tertiair!N16</f>
        <v>986.13926253887439</v>
      </c>
      <c r="P10" s="704">
        <f>tertiair!O16</f>
        <v>6.2533333333333339</v>
      </c>
      <c r="Q10" s="705">
        <f>tertiair!P16</f>
        <v>95.333333333333343</v>
      </c>
      <c r="R10" s="707">
        <f ca="1">SUM(C10:Q10)</f>
        <v>247615.7154808972</v>
      </c>
      <c r="S10" s="67"/>
    </row>
    <row r="11" spans="1:19" s="459" customFormat="1">
      <c r="A11" s="858" t="s">
        <v>225</v>
      </c>
      <c r="B11" s="863"/>
      <c r="C11" s="704">
        <f>huishoudens!B8</f>
        <v>61207.171948170413</v>
      </c>
      <c r="D11" s="704">
        <f>huishoudens!C8</f>
        <v>0</v>
      </c>
      <c r="E11" s="704">
        <f>huishoudens!D8</f>
        <v>259222.3522848633</v>
      </c>
      <c r="F11" s="704">
        <f>huishoudens!E8</f>
        <v>4278.0793879461271</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32585.567332859802</v>
      </c>
      <c r="P11" s="704">
        <f>huishoudens!O8</f>
        <v>272.02000000000004</v>
      </c>
      <c r="Q11" s="705">
        <f>huishoudens!P8</f>
        <v>572</v>
      </c>
      <c r="R11" s="707">
        <f>SUM(C11:Q11)</f>
        <v>358137.19095383963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192080.1738306513</v>
      </c>
      <c r="D13" s="704">
        <f>industrie!C18</f>
        <v>12241.071428571428</v>
      </c>
      <c r="E13" s="704">
        <f>industrie!D18</f>
        <v>144144.51144320052</v>
      </c>
      <c r="F13" s="704">
        <f>industrie!E18</f>
        <v>10447.033733386688</v>
      </c>
      <c r="G13" s="704">
        <f>industrie!F18</f>
        <v>60955.553316212099</v>
      </c>
      <c r="H13" s="704">
        <f>industrie!G18</f>
        <v>0</v>
      </c>
      <c r="I13" s="704">
        <f>industrie!H18</f>
        <v>0</v>
      </c>
      <c r="J13" s="704">
        <f>industrie!I18</f>
        <v>0</v>
      </c>
      <c r="K13" s="704">
        <f>industrie!J18</f>
        <v>280.48500112584759</v>
      </c>
      <c r="L13" s="704">
        <f>industrie!K18</f>
        <v>0</v>
      </c>
      <c r="M13" s="704">
        <f>industrie!L18</f>
        <v>0</v>
      </c>
      <c r="N13" s="704">
        <f>industrie!M18</f>
        <v>0</v>
      </c>
      <c r="O13" s="704">
        <f>industrie!N18</f>
        <v>96424.496585744986</v>
      </c>
      <c r="P13" s="704">
        <f>industrie!O18</f>
        <v>0</v>
      </c>
      <c r="Q13" s="705">
        <f>industrie!P18</f>
        <v>0</v>
      </c>
      <c r="R13" s="707">
        <f>SUM(C13:Q13)</f>
        <v>516573.32533889276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348812.34383684932</v>
      </c>
      <c r="D15" s="709">
        <f t="shared" ref="D15:Q15" ca="1" si="0">SUM(D9:D14)</f>
        <v>13816.071428571428</v>
      </c>
      <c r="E15" s="709">
        <f t="shared" ca="1" si="0"/>
        <v>534101.97900841304</v>
      </c>
      <c r="F15" s="709">
        <f t="shared" si="0"/>
        <v>15892.767459481518</v>
      </c>
      <c r="G15" s="709">
        <f t="shared" ca="1" si="0"/>
        <v>78480.775191378183</v>
      </c>
      <c r="H15" s="709">
        <f t="shared" si="0"/>
        <v>0</v>
      </c>
      <c r="I15" s="709">
        <f t="shared" si="0"/>
        <v>0</v>
      </c>
      <c r="J15" s="709">
        <f t="shared" si="0"/>
        <v>0</v>
      </c>
      <c r="K15" s="709">
        <f t="shared" si="0"/>
        <v>280.48500112584759</v>
      </c>
      <c r="L15" s="709">
        <f t="shared" si="0"/>
        <v>0</v>
      </c>
      <c r="M15" s="709">
        <f t="shared" ca="1" si="0"/>
        <v>0</v>
      </c>
      <c r="N15" s="709">
        <f t="shared" si="0"/>
        <v>0</v>
      </c>
      <c r="O15" s="709">
        <f t="shared" ca="1" si="0"/>
        <v>129996.20318114366</v>
      </c>
      <c r="P15" s="709">
        <f t="shared" si="0"/>
        <v>278.27333333333337</v>
      </c>
      <c r="Q15" s="710">
        <f t="shared" si="0"/>
        <v>667.33333333333337</v>
      </c>
      <c r="R15" s="711">
        <f ca="1">SUM(R9:R14)</f>
        <v>1122326.2317736296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5221.5622713561988</v>
      </c>
      <c r="I18" s="704">
        <f>transport!H54</f>
        <v>0</v>
      </c>
      <c r="J18" s="704">
        <f>transport!I54</f>
        <v>0</v>
      </c>
      <c r="K18" s="704">
        <f>transport!J54</f>
        <v>0</v>
      </c>
      <c r="L18" s="704">
        <f>transport!K54</f>
        <v>0</v>
      </c>
      <c r="M18" s="704">
        <f>transport!L54</f>
        <v>0</v>
      </c>
      <c r="N18" s="704">
        <f>transport!M54</f>
        <v>232.21564571189043</v>
      </c>
      <c r="O18" s="704">
        <f>transport!N54</f>
        <v>0</v>
      </c>
      <c r="P18" s="704">
        <f>transport!O54</f>
        <v>0</v>
      </c>
      <c r="Q18" s="705">
        <f>transport!P54</f>
        <v>0</v>
      </c>
      <c r="R18" s="707">
        <f>SUM(C18:Q18)</f>
        <v>5453.7779170680897</v>
      </c>
      <c r="S18" s="67"/>
    </row>
    <row r="19" spans="1:19" s="459" customFormat="1" ht="15" thickBot="1">
      <c r="A19" s="858" t="s">
        <v>307</v>
      </c>
      <c r="B19" s="863"/>
      <c r="C19" s="713">
        <f>transport!B14</f>
        <v>13.244124033182679</v>
      </c>
      <c r="D19" s="713">
        <f>transport!C14</f>
        <v>0</v>
      </c>
      <c r="E19" s="713">
        <f>transport!D14</f>
        <v>20.744022506441691</v>
      </c>
      <c r="F19" s="713">
        <f>transport!E14</f>
        <v>679.879692015096</v>
      </c>
      <c r="G19" s="713">
        <f>transport!F14</f>
        <v>0</v>
      </c>
      <c r="H19" s="713">
        <f>transport!G14</f>
        <v>196934.69420199192</v>
      </c>
      <c r="I19" s="713">
        <f>transport!H14</f>
        <v>31504.527072386078</v>
      </c>
      <c r="J19" s="713">
        <f>transport!I14</f>
        <v>0</v>
      </c>
      <c r="K19" s="713">
        <f>transport!J14</f>
        <v>0</v>
      </c>
      <c r="L19" s="713">
        <f>transport!K14</f>
        <v>0</v>
      </c>
      <c r="M19" s="713">
        <f>transport!L14</f>
        <v>0</v>
      </c>
      <c r="N19" s="713">
        <f>transport!M14</f>
        <v>10324.796064834272</v>
      </c>
      <c r="O19" s="713">
        <f>transport!N14</f>
        <v>0</v>
      </c>
      <c r="P19" s="713">
        <f>transport!O14</f>
        <v>0</v>
      </c>
      <c r="Q19" s="714">
        <f>transport!P14</f>
        <v>0</v>
      </c>
      <c r="R19" s="715">
        <f>SUM(C19:Q19)</f>
        <v>239477.88517776702</v>
      </c>
      <c r="S19" s="67"/>
    </row>
    <row r="20" spans="1:19" s="459" customFormat="1" ht="15.75" thickBot="1">
      <c r="A20" s="716" t="s">
        <v>230</v>
      </c>
      <c r="B20" s="866"/>
      <c r="C20" s="861">
        <f>SUM(C17:C19)</f>
        <v>13.244124033182679</v>
      </c>
      <c r="D20" s="717">
        <f t="shared" ref="D20:R20" si="1">SUM(D17:D19)</f>
        <v>0</v>
      </c>
      <c r="E20" s="717">
        <f t="shared" si="1"/>
        <v>20.744022506441691</v>
      </c>
      <c r="F20" s="717">
        <f t="shared" si="1"/>
        <v>679.879692015096</v>
      </c>
      <c r="G20" s="717">
        <f t="shared" si="1"/>
        <v>0</v>
      </c>
      <c r="H20" s="717">
        <f t="shared" si="1"/>
        <v>202156.25647334813</v>
      </c>
      <c r="I20" s="717">
        <f t="shared" si="1"/>
        <v>31504.527072386078</v>
      </c>
      <c r="J20" s="717">
        <f t="shared" si="1"/>
        <v>0</v>
      </c>
      <c r="K20" s="717">
        <f t="shared" si="1"/>
        <v>0</v>
      </c>
      <c r="L20" s="717">
        <f t="shared" si="1"/>
        <v>0</v>
      </c>
      <c r="M20" s="717">
        <f t="shared" si="1"/>
        <v>0</v>
      </c>
      <c r="N20" s="717">
        <f t="shared" si="1"/>
        <v>10557.011710546163</v>
      </c>
      <c r="O20" s="717">
        <f t="shared" si="1"/>
        <v>0</v>
      </c>
      <c r="P20" s="717">
        <f t="shared" si="1"/>
        <v>0</v>
      </c>
      <c r="Q20" s="718">
        <f t="shared" si="1"/>
        <v>0</v>
      </c>
      <c r="R20" s="719">
        <f t="shared" si="1"/>
        <v>244931.66309483512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1580.3563800353609</v>
      </c>
      <c r="D22" s="713">
        <f>+landbouw!C8</f>
        <v>0</v>
      </c>
      <c r="E22" s="713">
        <f>+landbouw!D8</f>
        <v>19987.062846448291</v>
      </c>
      <c r="F22" s="713">
        <f>+landbouw!E8</f>
        <v>19.914526301406028</v>
      </c>
      <c r="G22" s="713">
        <f>+landbouw!F8</f>
        <v>5452.6254140513638</v>
      </c>
      <c r="H22" s="713">
        <f>+landbouw!G8</f>
        <v>0</v>
      </c>
      <c r="I22" s="713">
        <f>+landbouw!H8</f>
        <v>0</v>
      </c>
      <c r="J22" s="713">
        <f>+landbouw!I8</f>
        <v>0</v>
      </c>
      <c r="K22" s="713">
        <f>+landbouw!J8</f>
        <v>237.66763470002883</v>
      </c>
      <c r="L22" s="713">
        <f>+landbouw!K8</f>
        <v>0</v>
      </c>
      <c r="M22" s="713">
        <f>+landbouw!L8</f>
        <v>0</v>
      </c>
      <c r="N22" s="713">
        <f>+landbouw!M8</f>
        <v>0</v>
      </c>
      <c r="O22" s="713">
        <f>+landbouw!N8</f>
        <v>0</v>
      </c>
      <c r="P22" s="713">
        <f>+landbouw!O8</f>
        <v>0</v>
      </c>
      <c r="Q22" s="714">
        <f>+landbouw!P8</f>
        <v>0</v>
      </c>
      <c r="R22" s="715">
        <f>SUM(C22:Q22)</f>
        <v>27277.626801536451</v>
      </c>
      <c r="S22" s="67"/>
    </row>
    <row r="23" spans="1:19" s="459" customFormat="1" ht="17.25" thickTop="1" thickBot="1">
      <c r="A23" s="720" t="s">
        <v>116</v>
      </c>
      <c r="B23" s="852"/>
      <c r="C23" s="721">
        <f ca="1">C20+C15+C22</f>
        <v>350405.94434091786</v>
      </c>
      <c r="D23" s="721">
        <f t="shared" ref="D23:Q23" ca="1" si="2">D20+D15+D22</f>
        <v>13816.071428571428</v>
      </c>
      <c r="E23" s="721">
        <f t="shared" ca="1" si="2"/>
        <v>554109.78587736771</v>
      </c>
      <c r="F23" s="721">
        <f t="shared" si="2"/>
        <v>16592.561677798021</v>
      </c>
      <c r="G23" s="721">
        <f t="shared" ca="1" si="2"/>
        <v>83933.400605429546</v>
      </c>
      <c r="H23" s="721">
        <f t="shared" si="2"/>
        <v>202156.25647334813</v>
      </c>
      <c r="I23" s="721">
        <f t="shared" si="2"/>
        <v>31504.527072386078</v>
      </c>
      <c r="J23" s="721">
        <f t="shared" si="2"/>
        <v>0</v>
      </c>
      <c r="K23" s="721">
        <f t="shared" si="2"/>
        <v>518.15263582587636</v>
      </c>
      <c r="L23" s="721">
        <f t="shared" si="2"/>
        <v>0</v>
      </c>
      <c r="M23" s="721">
        <f t="shared" ca="1" si="2"/>
        <v>0</v>
      </c>
      <c r="N23" s="721">
        <f t="shared" si="2"/>
        <v>10557.011710546163</v>
      </c>
      <c r="O23" s="721">
        <f t="shared" ca="1" si="2"/>
        <v>129996.20318114366</v>
      </c>
      <c r="P23" s="721">
        <f t="shared" si="2"/>
        <v>278.27333333333337</v>
      </c>
      <c r="Q23" s="722">
        <f t="shared" si="2"/>
        <v>667.33333333333337</v>
      </c>
      <c r="R23" s="723">
        <f ca="1">R20+R15+R22</f>
        <v>1394535.5216700011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20257.450777179405</v>
      </c>
      <c r="D36" s="704">
        <f ca="1">tertiair!C20</f>
        <v>372.56278762419475</v>
      </c>
      <c r="E36" s="704">
        <f ca="1">tertiair!D20</f>
        <v>26408.493286630543</v>
      </c>
      <c r="F36" s="704">
        <f>tertiair!E20</f>
        <v>265.0575347597557</v>
      </c>
      <c r="G36" s="704">
        <f ca="1">tertiair!F20</f>
        <v>4679.2342406693433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51982.798626863238</v>
      </c>
    </row>
    <row r="37" spans="1:18">
      <c r="A37" s="873" t="s">
        <v>225</v>
      </c>
      <c r="B37" s="880"/>
      <c r="C37" s="704">
        <f ca="1">huishoudens!B12</f>
        <v>12979.861796984573</v>
      </c>
      <c r="D37" s="704">
        <f ca="1">huishoudens!C12</f>
        <v>0</v>
      </c>
      <c r="E37" s="704">
        <f>huishoudens!D12</f>
        <v>52362.915161542391</v>
      </c>
      <c r="F37" s="704">
        <f>huishoudens!E12</f>
        <v>971.1240210637709</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66313.900979590733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40733.365566600922</v>
      </c>
      <c r="D39" s="704">
        <f ca="1">industrie!C22</f>
        <v>2895.5985364669555</v>
      </c>
      <c r="E39" s="704">
        <f>industrie!D22</f>
        <v>29117.191311526509</v>
      </c>
      <c r="F39" s="704">
        <f>industrie!E22</f>
        <v>2371.4766574787782</v>
      </c>
      <c r="G39" s="704">
        <f>industrie!F22</f>
        <v>16275.132735428631</v>
      </c>
      <c r="H39" s="704">
        <f>industrie!G22</f>
        <v>0</v>
      </c>
      <c r="I39" s="704">
        <f>industrie!H22</f>
        <v>0</v>
      </c>
      <c r="J39" s="704">
        <f>industrie!I22</f>
        <v>0</v>
      </c>
      <c r="K39" s="704">
        <f>industrie!J22</f>
        <v>99.291690398550045</v>
      </c>
      <c r="L39" s="704">
        <f>industrie!K22</f>
        <v>0</v>
      </c>
      <c r="M39" s="704">
        <f>industrie!L22</f>
        <v>0</v>
      </c>
      <c r="N39" s="704">
        <f>industrie!M22</f>
        <v>0</v>
      </c>
      <c r="O39" s="704">
        <f>industrie!N22</f>
        <v>0</v>
      </c>
      <c r="P39" s="704">
        <f>industrie!O22</f>
        <v>0</v>
      </c>
      <c r="Q39" s="814">
        <f>industrie!P22</f>
        <v>0</v>
      </c>
      <c r="R39" s="906">
        <f ca="1">SUM(C39:Q39)</f>
        <v>91492.056497900339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73970.67814076491</v>
      </c>
      <c r="D41" s="749">
        <f t="shared" ref="D41:R41" ca="1" si="4">SUM(D35:D40)</f>
        <v>3268.1613240911502</v>
      </c>
      <c r="E41" s="749">
        <f t="shared" ca="1" si="4"/>
        <v>107888.59975969944</v>
      </c>
      <c r="F41" s="749">
        <f t="shared" si="4"/>
        <v>3607.6582133023048</v>
      </c>
      <c r="G41" s="749">
        <f t="shared" ca="1" si="4"/>
        <v>20954.366976097976</v>
      </c>
      <c r="H41" s="749">
        <f t="shared" si="4"/>
        <v>0</v>
      </c>
      <c r="I41" s="749">
        <f t="shared" si="4"/>
        <v>0</v>
      </c>
      <c r="J41" s="749">
        <f t="shared" si="4"/>
        <v>0</v>
      </c>
      <c r="K41" s="749">
        <f t="shared" si="4"/>
        <v>99.291690398550045</v>
      </c>
      <c r="L41" s="749">
        <f t="shared" si="4"/>
        <v>0</v>
      </c>
      <c r="M41" s="749">
        <f t="shared" ca="1" si="4"/>
        <v>0</v>
      </c>
      <c r="N41" s="749">
        <f t="shared" si="4"/>
        <v>0</v>
      </c>
      <c r="O41" s="749">
        <f t="shared" ca="1" si="4"/>
        <v>0</v>
      </c>
      <c r="P41" s="749">
        <f t="shared" si="4"/>
        <v>0</v>
      </c>
      <c r="Q41" s="750">
        <f t="shared" si="4"/>
        <v>0</v>
      </c>
      <c r="R41" s="751">
        <f t="shared" ca="1" si="4"/>
        <v>209788.75610435431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1394.1571264521051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1394.1571264521051</v>
      </c>
    </row>
    <row r="45" spans="1:18" ht="15" thickBot="1">
      <c r="A45" s="876" t="s">
        <v>307</v>
      </c>
      <c r="B45" s="886"/>
      <c r="C45" s="713">
        <f ca="1">transport!B18</f>
        <v>2.8086071305238876</v>
      </c>
      <c r="D45" s="713">
        <f>transport!C18</f>
        <v>0</v>
      </c>
      <c r="E45" s="713">
        <f>transport!D18</f>
        <v>4.1902925463012215</v>
      </c>
      <c r="F45" s="713">
        <f>transport!E18</f>
        <v>154.33269008742678</v>
      </c>
      <c r="G45" s="713">
        <f>transport!F18</f>
        <v>0</v>
      </c>
      <c r="H45" s="713">
        <f>transport!G18</f>
        <v>52581.563351931843</v>
      </c>
      <c r="I45" s="713">
        <f>transport!H18</f>
        <v>7844.6272410241336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60587.522182720233</v>
      </c>
    </row>
    <row r="46" spans="1:18" ht="15.75" thickBot="1">
      <c r="A46" s="874" t="s">
        <v>230</v>
      </c>
      <c r="B46" s="887"/>
      <c r="C46" s="749">
        <f t="shared" ref="C46:R46" ca="1" si="5">SUM(C43:C45)</f>
        <v>2.8086071305238876</v>
      </c>
      <c r="D46" s="749">
        <f t="shared" ca="1" si="5"/>
        <v>0</v>
      </c>
      <c r="E46" s="749">
        <f t="shared" si="5"/>
        <v>4.1902925463012215</v>
      </c>
      <c r="F46" s="749">
        <f t="shared" si="5"/>
        <v>154.33269008742678</v>
      </c>
      <c r="G46" s="749">
        <f t="shared" si="5"/>
        <v>0</v>
      </c>
      <c r="H46" s="749">
        <f t="shared" si="5"/>
        <v>53975.720478383948</v>
      </c>
      <c r="I46" s="749">
        <f t="shared" si="5"/>
        <v>7844.6272410241336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61981.679309172338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335.13731724464969</v>
      </c>
      <c r="D48" s="704">
        <f ca="1">+landbouw!C12</f>
        <v>0</v>
      </c>
      <c r="E48" s="704">
        <f>+landbouw!D12</f>
        <v>4037.3866949825551</v>
      </c>
      <c r="F48" s="704">
        <f>+landbouw!E12</f>
        <v>4.520597470419168</v>
      </c>
      <c r="G48" s="704">
        <f>+landbouw!F12</f>
        <v>1455.8509855517143</v>
      </c>
      <c r="H48" s="704">
        <f>+landbouw!G12</f>
        <v>0</v>
      </c>
      <c r="I48" s="704">
        <f>+landbouw!H12</f>
        <v>0</v>
      </c>
      <c r="J48" s="704">
        <f>+landbouw!I12</f>
        <v>0</v>
      </c>
      <c r="K48" s="704">
        <f>+landbouw!J12</f>
        <v>84.134342683810203</v>
      </c>
      <c r="L48" s="704">
        <f>+landbouw!K12</f>
        <v>0</v>
      </c>
      <c r="M48" s="704">
        <f>+landbouw!L12</f>
        <v>0</v>
      </c>
      <c r="N48" s="704">
        <f>+landbouw!M12</f>
        <v>0</v>
      </c>
      <c r="O48" s="704">
        <f>+landbouw!N12</f>
        <v>0</v>
      </c>
      <c r="P48" s="704">
        <f>+landbouw!O12</f>
        <v>0</v>
      </c>
      <c r="Q48" s="705">
        <f>+landbouw!P12</f>
        <v>0</v>
      </c>
      <c r="R48" s="747">
        <f ca="1">SUM(C48:Q48)</f>
        <v>5917.0299379331482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74308.624065140088</v>
      </c>
      <c r="D53" s="759">
        <f t="shared" ref="D53:Q53" ca="1" si="6">D41+D46+D48</f>
        <v>3268.1613240911502</v>
      </c>
      <c r="E53" s="759">
        <f t="shared" ca="1" si="6"/>
        <v>111930.17674722831</v>
      </c>
      <c r="F53" s="759">
        <f t="shared" si="6"/>
        <v>3766.5115008601506</v>
      </c>
      <c r="G53" s="759">
        <f t="shared" ca="1" si="6"/>
        <v>22410.217961649691</v>
      </c>
      <c r="H53" s="759">
        <f t="shared" si="6"/>
        <v>53975.720478383948</v>
      </c>
      <c r="I53" s="759">
        <f t="shared" si="6"/>
        <v>7844.6272410241336</v>
      </c>
      <c r="J53" s="759">
        <f t="shared" si="6"/>
        <v>0</v>
      </c>
      <c r="K53" s="759">
        <f t="shared" si="6"/>
        <v>183.42603308236025</v>
      </c>
      <c r="L53" s="759">
        <f t="shared" si="6"/>
        <v>0</v>
      </c>
      <c r="M53" s="759">
        <f t="shared" ca="1" si="6"/>
        <v>0</v>
      </c>
      <c r="N53" s="759">
        <f t="shared" si="6"/>
        <v>0</v>
      </c>
      <c r="O53" s="759">
        <f t="shared" ca="1" si="6"/>
        <v>0</v>
      </c>
      <c r="P53" s="759">
        <f>P41+P46+P48</f>
        <v>0</v>
      </c>
      <c r="Q53" s="760">
        <f t="shared" si="6"/>
        <v>0</v>
      </c>
      <c r="R53" s="761">
        <f ca="1">R41+R46+R48</f>
        <v>277687.4653514598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0.21206439349911127</v>
      </c>
      <c r="D55" s="824">
        <f t="shared" ca="1" si="7"/>
        <v>0.23654780166615538</v>
      </c>
      <c r="E55" s="824">
        <f t="shared" ca="1" si="7"/>
        <v>0.20200000000000007</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13451.816367667358</v>
      </c>
      <c r="C66" s="781">
        <f>'lokale energieproductie'!B6</f>
        <v>13451.816367667358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8883.75</v>
      </c>
      <c r="C67" s="780">
        <f>B67*IFERROR(SUM(J67:L67)/SUM(D67:M67),0)</f>
        <v>0</v>
      </c>
      <c r="D67" s="812">
        <f>'lokale energieproductie'!C7</f>
        <v>10403.126401246078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2101.4315330517079</v>
      </c>
      <c r="P67" s="910">
        <v>0</v>
      </c>
      <c r="Q67" s="771"/>
      <c r="R67" s="728"/>
    </row>
    <row r="68" spans="1:18" ht="30.75" thickBot="1">
      <c r="A68" s="787" t="s">
        <v>353</v>
      </c>
      <c r="B68" s="780">
        <f>'lokale energieproductie'!B8</f>
        <v>1341</v>
      </c>
      <c r="C68" s="780">
        <f>B68*IFERROR(SUM(J68:L68)/SUM(D68:M68),0)</f>
        <v>1341</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3831.4285714285716</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23676.566367667358</v>
      </c>
      <c r="C69" s="789">
        <f>SUM(C64:C68)</f>
        <v>14792.816367667358</v>
      </c>
      <c r="D69" s="790">
        <f t="shared" ref="D69:M69" si="8">SUM(D67:D68)</f>
        <v>10403.126401246078</v>
      </c>
      <c r="E69" s="790">
        <f t="shared" si="8"/>
        <v>0</v>
      </c>
      <c r="F69" s="790">
        <f t="shared" si="8"/>
        <v>0</v>
      </c>
      <c r="G69" s="790">
        <f t="shared" si="8"/>
        <v>0</v>
      </c>
      <c r="H69" s="790">
        <f t="shared" si="8"/>
        <v>0</v>
      </c>
      <c r="I69" s="790">
        <f t="shared" si="8"/>
        <v>0</v>
      </c>
      <c r="J69" s="790">
        <f t="shared" si="8"/>
        <v>0</v>
      </c>
      <c r="K69" s="790">
        <f t="shared" si="8"/>
        <v>3831.4285714285716</v>
      </c>
      <c r="L69" s="790">
        <f t="shared" si="8"/>
        <v>0</v>
      </c>
      <c r="M69" s="918">
        <f t="shared" si="8"/>
        <v>0</v>
      </c>
      <c r="N69" s="791">
        <v>0</v>
      </c>
      <c r="O69" s="791">
        <f>SUM(O67:O68)</f>
        <v>2101.4315330517079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13816.071428571428</v>
      </c>
      <c r="C78" s="803">
        <f>B78*IFERROR(SUM(I78:L78)/SUM(D78:M78),0)</f>
        <v>0</v>
      </c>
      <c r="D78" s="818">
        <f>'lokale energieproductie'!C16</f>
        <v>16179.016455896783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3268.1613240911502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13816.071428571428</v>
      </c>
      <c r="C81" s="789">
        <f>SUM(C78:C80)</f>
        <v>0</v>
      </c>
      <c r="D81" s="789">
        <f t="shared" ref="D81:P81" si="9">SUM(D78:D80)</f>
        <v>16179.016455896783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3268.1613240911502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61207.171948170413</v>
      </c>
      <c r="C4" s="463">
        <f>huishoudens!C8</f>
        <v>0</v>
      </c>
      <c r="D4" s="463">
        <f>huishoudens!D8</f>
        <v>259222.3522848633</v>
      </c>
      <c r="E4" s="463">
        <f>huishoudens!E8</f>
        <v>4278.0793879461271</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32585.567332859802</v>
      </c>
      <c r="O4" s="463">
        <f>huishoudens!O8</f>
        <v>272.02000000000004</v>
      </c>
      <c r="P4" s="464">
        <f>huishoudens!P8</f>
        <v>572</v>
      </c>
      <c r="Q4" s="465">
        <f>SUM(B4:P4)</f>
        <v>358137.19095383963</v>
      </c>
    </row>
    <row r="5" spans="1:17">
      <c r="A5" s="462" t="s">
        <v>156</v>
      </c>
      <c r="B5" s="463">
        <f ca="1">tertiair!B16</f>
        <v>92944.639058027635</v>
      </c>
      <c r="C5" s="463">
        <f ca="1">tertiair!C16</f>
        <v>1575.0000000000002</v>
      </c>
      <c r="D5" s="463">
        <f ca="1">tertiair!D16</f>
        <v>130735.11528034922</v>
      </c>
      <c r="E5" s="463">
        <f>tertiair!E16</f>
        <v>1167.6543381487036</v>
      </c>
      <c r="F5" s="463">
        <f ca="1">tertiair!F16</f>
        <v>17525.22187516608</v>
      </c>
      <c r="G5" s="463">
        <f>tertiair!G16</f>
        <v>0</v>
      </c>
      <c r="H5" s="463">
        <f>tertiair!H16</f>
        <v>0</v>
      </c>
      <c r="I5" s="463">
        <f>tertiair!I16</f>
        <v>0</v>
      </c>
      <c r="J5" s="463">
        <f>tertiair!J16</f>
        <v>0</v>
      </c>
      <c r="K5" s="463">
        <f>tertiair!K16</f>
        <v>0</v>
      </c>
      <c r="L5" s="463">
        <f ca="1">tertiair!L16</f>
        <v>0</v>
      </c>
      <c r="M5" s="463">
        <f>tertiair!M16</f>
        <v>0</v>
      </c>
      <c r="N5" s="463">
        <f ca="1">tertiair!N16</f>
        <v>986.13926253887439</v>
      </c>
      <c r="O5" s="463">
        <f>tertiair!O16</f>
        <v>6.2533333333333339</v>
      </c>
      <c r="P5" s="464">
        <f>tertiair!P16</f>
        <v>95.333333333333343</v>
      </c>
      <c r="Q5" s="462">
        <f t="shared" ref="Q5:Q13" ca="1" si="0">SUM(B5:P5)</f>
        <v>245035.3564808972</v>
      </c>
    </row>
    <row r="6" spans="1:17">
      <c r="A6" s="462" t="s">
        <v>194</v>
      </c>
      <c r="B6" s="463">
        <f>'openbare verlichting'!B8</f>
        <v>2580.3589999999999</v>
      </c>
      <c r="C6" s="463"/>
      <c r="D6" s="463"/>
      <c r="E6" s="463"/>
      <c r="F6" s="463"/>
      <c r="G6" s="463"/>
      <c r="H6" s="463"/>
      <c r="I6" s="463"/>
      <c r="J6" s="463"/>
      <c r="K6" s="463"/>
      <c r="L6" s="463"/>
      <c r="M6" s="463"/>
      <c r="N6" s="463"/>
      <c r="O6" s="463"/>
      <c r="P6" s="464"/>
      <c r="Q6" s="462">
        <f t="shared" si="0"/>
        <v>2580.3589999999999</v>
      </c>
    </row>
    <row r="7" spans="1:17">
      <c r="A7" s="462" t="s">
        <v>112</v>
      </c>
      <c r="B7" s="463">
        <f>landbouw!B8</f>
        <v>1580.3563800353609</v>
      </c>
      <c r="C7" s="463">
        <f>landbouw!C8</f>
        <v>0</v>
      </c>
      <c r="D7" s="463">
        <f>landbouw!D8</f>
        <v>19987.062846448291</v>
      </c>
      <c r="E7" s="463">
        <f>landbouw!E8</f>
        <v>19.914526301406028</v>
      </c>
      <c r="F7" s="463">
        <f>landbouw!F8</f>
        <v>5452.6254140513638</v>
      </c>
      <c r="G7" s="463">
        <f>landbouw!G8</f>
        <v>0</v>
      </c>
      <c r="H7" s="463">
        <f>landbouw!H8</f>
        <v>0</v>
      </c>
      <c r="I7" s="463">
        <f>landbouw!I8</f>
        <v>0</v>
      </c>
      <c r="J7" s="463">
        <f>landbouw!J8</f>
        <v>237.66763470002883</v>
      </c>
      <c r="K7" s="463">
        <f>landbouw!K8</f>
        <v>0</v>
      </c>
      <c r="L7" s="463">
        <f>landbouw!L8</f>
        <v>0</v>
      </c>
      <c r="M7" s="463">
        <f>landbouw!M8</f>
        <v>0</v>
      </c>
      <c r="N7" s="463">
        <f>landbouw!N8</f>
        <v>0</v>
      </c>
      <c r="O7" s="463">
        <f>landbouw!O8</f>
        <v>0</v>
      </c>
      <c r="P7" s="464">
        <f>landbouw!P8</f>
        <v>0</v>
      </c>
      <c r="Q7" s="462">
        <f t="shared" si="0"/>
        <v>27277.626801536451</v>
      </c>
    </row>
    <row r="8" spans="1:17">
      <c r="A8" s="462" t="s">
        <v>657</v>
      </c>
      <c r="B8" s="463">
        <f>industrie!B18</f>
        <v>192080.1738306513</v>
      </c>
      <c r="C8" s="463">
        <f>industrie!C18</f>
        <v>12241.071428571428</v>
      </c>
      <c r="D8" s="463">
        <f>industrie!D18</f>
        <v>144144.51144320052</v>
      </c>
      <c r="E8" s="463">
        <f>industrie!E18</f>
        <v>10447.033733386688</v>
      </c>
      <c r="F8" s="463">
        <f>industrie!F18</f>
        <v>60955.553316212099</v>
      </c>
      <c r="G8" s="463">
        <f>industrie!G18</f>
        <v>0</v>
      </c>
      <c r="H8" s="463">
        <f>industrie!H18</f>
        <v>0</v>
      </c>
      <c r="I8" s="463">
        <f>industrie!I18</f>
        <v>0</v>
      </c>
      <c r="J8" s="463">
        <f>industrie!J18</f>
        <v>280.48500112584759</v>
      </c>
      <c r="K8" s="463">
        <f>industrie!K18</f>
        <v>0</v>
      </c>
      <c r="L8" s="463">
        <f>industrie!L18</f>
        <v>0</v>
      </c>
      <c r="M8" s="463">
        <f>industrie!M18</f>
        <v>0</v>
      </c>
      <c r="N8" s="463">
        <f>industrie!N18</f>
        <v>96424.496585744986</v>
      </c>
      <c r="O8" s="463">
        <f>industrie!O18</f>
        <v>0</v>
      </c>
      <c r="P8" s="464">
        <f>industrie!P18</f>
        <v>0</v>
      </c>
      <c r="Q8" s="462">
        <f t="shared" si="0"/>
        <v>516573.32533889276</v>
      </c>
    </row>
    <row r="9" spans="1:17" s="468" customFormat="1">
      <c r="A9" s="466" t="s">
        <v>574</v>
      </c>
      <c r="B9" s="467">
        <f>transport!B14</f>
        <v>13.244124033182679</v>
      </c>
      <c r="C9" s="467"/>
      <c r="D9" s="467">
        <f>transport!D14</f>
        <v>20.744022506441691</v>
      </c>
      <c r="E9" s="467">
        <f>transport!E14</f>
        <v>679.879692015096</v>
      </c>
      <c r="F9" s="467"/>
      <c r="G9" s="467">
        <f>transport!G14</f>
        <v>196934.69420199192</v>
      </c>
      <c r="H9" s="467">
        <f>transport!H14</f>
        <v>31504.527072386078</v>
      </c>
      <c r="I9" s="467"/>
      <c r="J9" s="467"/>
      <c r="K9" s="467"/>
      <c r="L9" s="467"/>
      <c r="M9" s="467">
        <f>transport!M14</f>
        <v>10324.796064834272</v>
      </c>
      <c r="N9" s="467"/>
      <c r="O9" s="467"/>
      <c r="P9" s="467"/>
      <c r="Q9" s="466">
        <f>SUM(B9:P9)</f>
        <v>239477.88517776702</v>
      </c>
    </row>
    <row r="10" spans="1:17">
      <c r="A10" s="462" t="s">
        <v>564</v>
      </c>
      <c r="B10" s="463">
        <f>transport!B54</f>
        <v>0</v>
      </c>
      <c r="C10" s="463"/>
      <c r="D10" s="463">
        <f>transport!D54</f>
        <v>0</v>
      </c>
      <c r="E10" s="463"/>
      <c r="F10" s="463"/>
      <c r="G10" s="463">
        <f>transport!G54</f>
        <v>5221.5622713561988</v>
      </c>
      <c r="H10" s="463"/>
      <c r="I10" s="463"/>
      <c r="J10" s="463"/>
      <c r="K10" s="463"/>
      <c r="L10" s="463"/>
      <c r="M10" s="463">
        <f>transport!M54</f>
        <v>232.21564571189043</v>
      </c>
      <c r="N10" s="463"/>
      <c r="O10" s="463"/>
      <c r="P10" s="464"/>
      <c r="Q10" s="462">
        <f t="shared" si="0"/>
        <v>5453.7779170680897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350405.94434091792</v>
      </c>
      <c r="C14" s="473">
        <f t="shared" ref="C14:Q14" ca="1" si="1">SUM(C4:C13)</f>
        <v>13816.071428571428</v>
      </c>
      <c r="D14" s="473">
        <f t="shared" ca="1" si="1"/>
        <v>554109.78587736771</v>
      </c>
      <c r="E14" s="473">
        <f t="shared" si="1"/>
        <v>16592.561677798021</v>
      </c>
      <c r="F14" s="473">
        <f t="shared" ca="1" si="1"/>
        <v>83933.400605429546</v>
      </c>
      <c r="G14" s="473">
        <f t="shared" si="1"/>
        <v>202156.25647334813</v>
      </c>
      <c r="H14" s="473">
        <f t="shared" si="1"/>
        <v>31504.527072386078</v>
      </c>
      <c r="I14" s="473">
        <f t="shared" si="1"/>
        <v>0</v>
      </c>
      <c r="J14" s="473">
        <f t="shared" si="1"/>
        <v>518.15263582587636</v>
      </c>
      <c r="K14" s="473">
        <f t="shared" si="1"/>
        <v>0</v>
      </c>
      <c r="L14" s="473">
        <f t="shared" ca="1" si="1"/>
        <v>0</v>
      </c>
      <c r="M14" s="473">
        <f t="shared" si="1"/>
        <v>10557.011710546163</v>
      </c>
      <c r="N14" s="473">
        <f t="shared" ca="1" si="1"/>
        <v>129996.20318114366</v>
      </c>
      <c r="O14" s="473">
        <f t="shared" si="1"/>
        <v>278.27333333333337</v>
      </c>
      <c r="P14" s="474">
        <f t="shared" si="1"/>
        <v>667.33333333333337</v>
      </c>
      <c r="Q14" s="474">
        <f t="shared" ca="1" si="1"/>
        <v>1394535.5216700011</v>
      </c>
    </row>
    <row r="16" spans="1:17">
      <c r="A16" s="476" t="s">
        <v>569</v>
      </c>
      <c r="B16" s="829">
        <f ca="1">huishoudens!B10</f>
        <v>0.21206439349911121</v>
      </c>
      <c r="C16" s="829">
        <f ca="1">huishoudens!C10</f>
        <v>0.23654780166615538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12979.861796984573</v>
      </c>
      <c r="C21" s="463">
        <f t="shared" ref="C21:C28" ca="1" si="3">C4*$C$16</f>
        <v>0</v>
      </c>
      <c r="D21" s="463">
        <f t="shared" ref="D21:D30" si="4">D4*$D$16</f>
        <v>52362.915161542391</v>
      </c>
      <c r="E21" s="463">
        <f t="shared" ref="E21:E30" si="5">E4*$E$16</f>
        <v>971.1240210637709</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66313.900979590733</v>
      </c>
    </row>
    <row r="22" spans="1:17">
      <c r="A22" s="462" t="s">
        <v>156</v>
      </c>
      <c r="B22" s="463">
        <f t="shared" ca="1" si="2"/>
        <v>19710.248510834434</v>
      </c>
      <c r="C22" s="463">
        <f t="shared" ca="1" si="3"/>
        <v>372.56278762419475</v>
      </c>
      <c r="D22" s="463">
        <f t="shared" ca="1" si="4"/>
        <v>26408.493286630543</v>
      </c>
      <c r="E22" s="463">
        <f t="shared" si="5"/>
        <v>265.0575347597557</v>
      </c>
      <c r="F22" s="463">
        <f t="shared" ca="1" si="6"/>
        <v>4679.2342406693433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51435.59636051827</v>
      </c>
    </row>
    <row r="23" spans="1:17">
      <c r="A23" s="462" t="s">
        <v>194</v>
      </c>
      <c r="B23" s="463">
        <f t="shared" ca="1" si="2"/>
        <v>547.20226634497305</v>
      </c>
      <c r="C23" s="463"/>
      <c r="D23" s="463"/>
      <c r="E23" s="463"/>
      <c r="F23" s="463"/>
      <c r="G23" s="463"/>
      <c r="H23" s="463"/>
      <c r="I23" s="463"/>
      <c r="J23" s="463"/>
      <c r="K23" s="463"/>
      <c r="L23" s="463"/>
      <c r="M23" s="463"/>
      <c r="N23" s="463"/>
      <c r="O23" s="463"/>
      <c r="P23" s="464"/>
      <c r="Q23" s="462">
        <f t="shared" ca="1" si="17"/>
        <v>547.20226634497305</v>
      </c>
    </row>
    <row r="24" spans="1:17">
      <c r="A24" s="462" t="s">
        <v>112</v>
      </c>
      <c r="B24" s="463">
        <f t="shared" ca="1" si="2"/>
        <v>335.13731724464969</v>
      </c>
      <c r="C24" s="463">
        <f t="shared" ca="1" si="3"/>
        <v>0</v>
      </c>
      <c r="D24" s="463">
        <f t="shared" si="4"/>
        <v>4037.3866949825551</v>
      </c>
      <c r="E24" s="463">
        <f t="shared" si="5"/>
        <v>4.520597470419168</v>
      </c>
      <c r="F24" s="463">
        <f t="shared" si="6"/>
        <v>1455.8509855517143</v>
      </c>
      <c r="G24" s="463">
        <f t="shared" si="7"/>
        <v>0</v>
      </c>
      <c r="H24" s="463">
        <f t="shared" si="8"/>
        <v>0</v>
      </c>
      <c r="I24" s="463">
        <f t="shared" si="9"/>
        <v>0</v>
      </c>
      <c r="J24" s="463">
        <f t="shared" si="10"/>
        <v>84.134342683810203</v>
      </c>
      <c r="K24" s="463">
        <f t="shared" si="11"/>
        <v>0</v>
      </c>
      <c r="L24" s="463">
        <f t="shared" si="12"/>
        <v>0</v>
      </c>
      <c r="M24" s="463">
        <f t="shared" si="13"/>
        <v>0</v>
      </c>
      <c r="N24" s="463">
        <f t="shared" si="14"/>
        <v>0</v>
      </c>
      <c r="O24" s="463">
        <f t="shared" si="15"/>
        <v>0</v>
      </c>
      <c r="P24" s="464">
        <f t="shared" si="16"/>
        <v>0</v>
      </c>
      <c r="Q24" s="462">
        <f t="shared" ca="1" si="17"/>
        <v>5917.0299379331482</v>
      </c>
    </row>
    <row r="25" spans="1:17">
      <c r="A25" s="462" t="s">
        <v>657</v>
      </c>
      <c r="B25" s="463">
        <f t="shared" ca="1" si="2"/>
        <v>40733.365566600922</v>
      </c>
      <c r="C25" s="463">
        <f t="shared" ca="1" si="3"/>
        <v>2895.5985364669555</v>
      </c>
      <c r="D25" s="463">
        <f t="shared" si="4"/>
        <v>29117.191311526509</v>
      </c>
      <c r="E25" s="463">
        <f t="shared" si="5"/>
        <v>2371.4766574787782</v>
      </c>
      <c r="F25" s="463">
        <f t="shared" si="6"/>
        <v>16275.132735428631</v>
      </c>
      <c r="G25" s="463">
        <f t="shared" si="7"/>
        <v>0</v>
      </c>
      <c r="H25" s="463">
        <f t="shared" si="8"/>
        <v>0</v>
      </c>
      <c r="I25" s="463">
        <f t="shared" si="9"/>
        <v>0</v>
      </c>
      <c r="J25" s="463">
        <f t="shared" si="10"/>
        <v>99.291690398550045</v>
      </c>
      <c r="K25" s="463">
        <f t="shared" si="11"/>
        <v>0</v>
      </c>
      <c r="L25" s="463">
        <f t="shared" si="12"/>
        <v>0</v>
      </c>
      <c r="M25" s="463">
        <f t="shared" si="13"/>
        <v>0</v>
      </c>
      <c r="N25" s="463">
        <f t="shared" si="14"/>
        <v>0</v>
      </c>
      <c r="O25" s="463">
        <f t="shared" si="15"/>
        <v>0</v>
      </c>
      <c r="P25" s="464">
        <f t="shared" si="16"/>
        <v>0</v>
      </c>
      <c r="Q25" s="462">
        <f t="shared" ca="1" si="17"/>
        <v>91492.056497900339</v>
      </c>
    </row>
    <row r="26" spans="1:17" s="468" customFormat="1">
      <c r="A26" s="466" t="s">
        <v>574</v>
      </c>
      <c r="B26" s="823">
        <f t="shared" ca="1" si="2"/>
        <v>2.8086071305238876</v>
      </c>
      <c r="C26" s="467"/>
      <c r="D26" s="467">
        <f t="shared" si="4"/>
        <v>4.1902925463012215</v>
      </c>
      <c r="E26" s="467">
        <f t="shared" si="5"/>
        <v>154.33269008742678</v>
      </c>
      <c r="F26" s="467"/>
      <c r="G26" s="467">
        <f t="shared" si="7"/>
        <v>52581.563351931843</v>
      </c>
      <c r="H26" s="467">
        <f t="shared" si="8"/>
        <v>7844.6272410241336</v>
      </c>
      <c r="I26" s="467"/>
      <c r="J26" s="467"/>
      <c r="K26" s="467"/>
      <c r="L26" s="467"/>
      <c r="M26" s="467">
        <f t="shared" si="13"/>
        <v>0</v>
      </c>
      <c r="N26" s="467"/>
      <c r="O26" s="467"/>
      <c r="P26" s="478"/>
      <c r="Q26" s="466">
        <f t="shared" ca="1" si="17"/>
        <v>60587.522182720233</v>
      </c>
    </row>
    <row r="27" spans="1:17">
      <c r="A27" s="462" t="s">
        <v>564</v>
      </c>
      <c r="B27" s="463">
        <f t="shared" ca="1" si="2"/>
        <v>0</v>
      </c>
      <c r="C27" s="463"/>
      <c r="D27" s="467">
        <f t="shared" si="4"/>
        <v>0</v>
      </c>
      <c r="E27" s="463"/>
      <c r="F27" s="463"/>
      <c r="G27" s="463">
        <f t="shared" si="7"/>
        <v>1394.1571264521051</v>
      </c>
      <c r="H27" s="463"/>
      <c r="I27" s="463"/>
      <c r="J27" s="463"/>
      <c r="K27" s="463"/>
      <c r="L27" s="463"/>
      <c r="M27" s="463">
        <f t="shared" si="13"/>
        <v>0</v>
      </c>
      <c r="N27" s="463"/>
      <c r="O27" s="463"/>
      <c r="P27" s="464"/>
      <c r="Q27" s="462">
        <f t="shared" ca="1" si="17"/>
        <v>1394.1571264521051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74308.624065140073</v>
      </c>
      <c r="C31" s="473">
        <f t="shared" ca="1" si="18"/>
        <v>3268.1613240911502</v>
      </c>
      <c r="D31" s="473">
        <f t="shared" ca="1" si="18"/>
        <v>111930.17674722831</v>
      </c>
      <c r="E31" s="473">
        <f t="shared" si="18"/>
        <v>3766.511500860151</v>
      </c>
      <c r="F31" s="473">
        <f t="shared" ca="1" si="18"/>
        <v>22410.217961649687</v>
      </c>
      <c r="G31" s="473">
        <f t="shared" si="18"/>
        <v>53975.720478383948</v>
      </c>
      <c r="H31" s="473">
        <f t="shared" si="18"/>
        <v>7844.6272410241336</v>
      </c>
      <c r="I31" s="473">
        <f t="shared" si="18"/>
        <v>0</v>
      </c>
      <c r="J31" s="473">
        <f t="shared" si="18"/>
        <v>183.42603308236025</v>
      </c>
      <c r="K31" s="473">
        <f t="shared" si="18"/>
        <v>0</v>
      </c>
      <c r="L31" s="473">
        <f t="shared" ca="1" si="18"/>
        <v>0</v>
      </c>
      <c r="M31" s="473">
        <f t="shared" si="18"/>
        <v>0</v>
      </c>
      <c r="N31" s="473">
        <f t="shared" ca="1" si="18"/>
        <v>0</v>
      </c>
      <c r="O31" s="473">
        <f t="shared" si="18"/>
        <v>0</v>
      </c>
      <c r="P31" s="474">
        <f t="shared" si="18"/>
        <v>0</v>
      </c>
      <c r="Q31" s="474">
        <f t="shared" ca="1" si="18"/>
        <v>277687.4653514598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0.21206439349911121</v>
      </c>
      <c r="C17" s="513">
        <f ca="1">'EF ele_warmte'!B22</f>
        <v>0.23654780166615538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0.21206439349911121</v>
      </c>
      <c r="C17" s="513">
        <f ca="1">'EF ele_warmte'!B22</f>
        <v>0.23654780166615538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0.21206439349911121</v>
      </c>
      <c r="C29" s="514">
        <f ca="1">'EF ele_warmte'!B22</f>
        <v>0.23654780166615538</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2019-01-02T18:02:35Z</dcterms:modified>
</cp:coreProperties>
</file>