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C13" i="15"/>
  <c r="C16" s="1"/>
  <c r="D10" i="14" s="1"/>
  <c r="L6" i="17"/>
  <c r="L5" s="1"/>
  <c r="D8"/>
  <c r="D12" s="1"/>
  <c r="E48" i="14" s="1"/>
  <c r="B8" i="9"/>
  <c r="B6" i="48" s="1"/>
  <c r="Q6"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J5" i="15"/>
  <c r="F4" i="48"/>
  <c r="F21" s="1"/>
  <c r="B69" i="14"/>
  <c r="B4" i="6" s="1"/>
  <c r="F5" i="15"/>
  <c r="F16" s="1"/>
  <c r="B5"/>
  <c r="B16" s="1"/>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E13" i="14" l="1"/>
  <c r="Q15"/>
  <c r="Q23" s="1"/>
  <c r="Q55" s="1"/>
  <c r="E7" i="48"/>
  <c r="E24" s="1"/>
  <c r="E12" i="17"/>
  <c r="F48" i="14" s="1"/>
  <c r="P31" i="48"/>
  <c r="N7"/>
  <c r="N24" s="1"/>
  <c r="L7"/>
  <c r="L24" s="1"/>
  <c r="H14" i="22"/>
  <c r="M22" i="14"/>
  <c r="R22" s="1"/>
  <c r="E16" i="15"/>
  <c r="E20" s="1"/>
  <c r="F36" i="14" s="1"/>
  <c r="D8" i="48"/>
  <c r="D25" s="1"/>
  <c r="O22" i="14"/>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E15" i="14" l="1"/>
  <c r="E23" s="1"/>
  <c r="Q7" i="48"/>
  <c r="F10" i="14"/>
  <c r="R10" s="1"/>
  <c r="O31" i="48"/>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O13" i="14" l="1"/>
  <c r="O15" s="1"/>
  <c r="F13"/>
  <c r="F15" s="1"/>
  <c r="F23" s="1"/>
  <c r="F55" s="1"/>
  <c r="N55"/>
  <c r="K13"/>
  <c r="K15" s="1"/>
  <c r="K23" s="1"/>
  <c r="K55" s="1"/>
  <c r="N25" i="48"/>
  <c r="N14"/>
  <c r="E25"/>
  <c r="E31" s="1"/>
  <c r="E14"/>
  <c r="N31"/>
  <c r="H55" i="14"/>
  <c r="E55"/>
  <c r="C78"/>
  <c r="C81" s="1"/>
  <c r="J14" i="48"/>
  <c r="J31"/>
  <c r="Q8"/>
  <c r="Q14" s="1"/>
  <c r="R19" i="14"/>
  <c r="R20" s="1"/>
  <c r="H14" i="48"/>
  <c r="G31"/>
  <c r="H26"/>
  <c r="H31" s="1"/>
  <c r="O53"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<sst xmlns="http://schemas.openxmlformats.org/spreadsheetml/2006/main" count="2151" uniqueCount="878">
  <si>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</si>
  <si>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</si>
  <si>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</si>
  <si>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</si>
  <si>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</si>
  <si>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</si>
  <si>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</si>
  <si>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</si>
  <si>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</si>
  <si>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</si>
  <si>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</si>
  <si>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</si>
  <si>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</si>
  <si>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</si>
  <si>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</si>
  <si>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</si>
  <si>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</si>
  <si>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</si>
  <si>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</si>
  <si>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</si>
  <si>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</si>
  <si>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</si>
  <si>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</si>
  <si>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</si>
  <si>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</si>
  <si>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</si>
  <si>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</si>
  <si>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</si>
  <si>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</si>
  <si>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</si>
  <si>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</si>
  <si>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</si>
  <si>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</si>
  <si>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</si>
  <si>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</si>
  <si>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</si>
  <si>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</si>
  <si>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</si>
  <si>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</si>
  <si>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</si>
  <si>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</si>
  <si>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</si>
  <si>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</si>
  <si>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</si>
  <si>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</si>
  <si>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</si>
  <si>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</si>
  <si>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</si>
  <si>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</si>
  <si>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</si>
  <si>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</si>
  <si>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</si>
  <si>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</si>
  <si>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</si>
  <si>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</si>
  <si>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</si>
  <si>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</si>
  <si>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</si>
  <si>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</si>
  <si>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</si>
  <si>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</si>
  <si>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</si>
  <si>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</si>
  <si>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</si>
  <si>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</si>
  <si>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</si>
  <si>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</si>
  <si>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</si>
  <si>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</si>
  <si>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</si>
  <si>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</si>
  <si>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</si>
  <si>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</si>
  <si>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</si>
  <si>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</si>
  <si>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</si>
  <si>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</si>
  <si>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</si>
  <si>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</si>
  <si>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</si>
  <si>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</si>
  <si>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</si>
  <si>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</si>
  <si>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</si>
  <si>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</si>
  <si>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</si>
  <si>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</si>
  <si>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</si>
  <si>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</si>
  <si>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</si>
  <si>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</si>
  <si>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</si>
  <si>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</si>
  <si>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</si>
  <si>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</si>
  <si>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</si>
  <si>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</si>
  <si>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</si>
  <si>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</si>
  <si>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</si>
  <si>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</si>
  <si>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</si>
  <si>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</si>
  <si>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</si>
  <si>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</si>
  <si>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</si>
  <si>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</si>
  <si>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</si>
  <si>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</si>
  <si>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</si>
  <si>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</si>
  <si>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</si>
  <si>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</si>
  <si>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</si>
  <si>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</si>
  <si>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</si>
  <si>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</si>
  <si>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</si>
  <si>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</si>
  <si>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</si>
  <si>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</si>
  <si>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</si>
  <si>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</si>
  <si>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</si>
  <si>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</si>
  <si>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</si>
  <si>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</si>
  <si>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</si>
  <si>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</si>
  <si>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</si>
  <si>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</si>
  <si>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</si>
  <si>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</si>
  <si>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</si>
  <si>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</si>
  <si>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</si>
  <si>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</si>
  <si>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</si>
  <si>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</si>
  <si>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</si>
  <si>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</si>
  <si>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</si>
  <si>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</si>
  <si>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</si>
  <si>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</si>
  <si>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</si>
  <si>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</si>
  <si>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</si>
  <si>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</si>
  <si>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</si>
  <si>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</si>
  <si>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</si>
  <si>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</si>
  <si>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</si>
  <si>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</si>
  <si>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</si>
  <si>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</si>
  <si>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</si>
  <si>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</si>
  <si>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</si>
  <si>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</si>
  <si>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</si>
  <si>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</si>
  <si>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</si>
  <si>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</si>
  <si>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</si>
  <si>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</si>
  <si>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</si>
  <si>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</si>
  <si>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</si>
  <si>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</si>
  <si>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</si>
  <si>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</si>
  <si>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</si>
  <si>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</si>
  <si>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</si>
  <si>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</si>
  <si>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</si>
  <si>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</si>
  <si>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</si>
  <si>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</si>
  <si>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</si>
  <si>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</si>
  <si>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</si>
  <si>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</si>
  <si>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</si>
  <si>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</si>
  <si>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</si>
  <si>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</si>
  <si>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</si>
  <si>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</si>
  <si>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</si>
  <si>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</si>
  <si>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</si>
  <si>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</si>
  <si>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</si>
  <si>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</si>
  <si>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</si>
  <si>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</si>
  <si>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</si>
  <si>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</si>
  <si>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</si>
  <si>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</si>
  <si>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</si>
  <si>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</si>
  <si>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</si>
  <si>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</si>
  <si>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</si>
  <si>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</si>
  <si>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</si>
  <si>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</si>
  <si>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</si>
  <si>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</si>
  <si>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</si>
  <si>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</si>
  <si>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</si>
  <si>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</si>
  <si>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</si>
  <si>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</si>
  <si>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</si>
  <si>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</si>
  <si>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</si>
  <si>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</si>
  <si>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</si>
  <si>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</si>
  <si>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</si>
  <si>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</si>
  <si>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</si>
  <si>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</si>
  <si>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</si>
  <si>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</si>
  <si>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</si>
  <si>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</si>
  <si>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</si>
  <si>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</si>
  <si>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</si>
  <si>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</si>
  <si>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</si>
  <si>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</si>
  <si>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</si>
  <si>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</si>
  <si>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</si>
  <si>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</si>
  <si>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</si>
  <si>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</si>
  <si>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</si>
  <si>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</si>
  <si>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</si>
  <si>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</si>
  <si>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</si>
  <si>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</si>
  <si>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</si>
  <si>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</si>
  <si>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</si>
  <si>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</si>
  <si>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</si>
  <si>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</si>
  <si>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</si>
  <si>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</si>
  <si>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</si>
  <si>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</si>
  <si>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</si>
  <si>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</si>
  <si>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</si>
  <si>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</si>
  <si>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</si>
  <si>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</si>
  <si>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</si>
  <si>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</si>
  <si>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</si>
  <si>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</si>
  <si>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</si>
  <si>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</si>
  <si>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</si>
  <si>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</si>
  <si>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</si>
  <si>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</si>
  <si>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</si>
  <si>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</si>
  <si>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</si>
  <si>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</si>
  <si>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</si>
  <si>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</si>
  <si>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</si>
  <si>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</si>
  <si>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</si>
  <si>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</si>
  <si>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</si>
  <si>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</si>
  <si>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</si>
  <si>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</si>
  <si>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</si>
  <si>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</si>
  <si>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</si>
  <si>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</si>
  <si>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</si>
  <si>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</si>
  <si>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</si>
  <si>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</si>
  <si>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</si>
  <si>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</si>
  <si>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</si>
  <si>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</si>
  <si>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</si>
  <si>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</si>
  <si>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</si>
  <si>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</si>
  <si>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</si>
  <si>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</si>
  <si>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</si>
  <si>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</si>
  <si>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</si>
  <si>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</si>
  <si>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</si>
  <si>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</si>
  <si>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</si>
  <si>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</si>
  <si>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</si>
  <si>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</si>
  <si>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</si>
  <si>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</si>
  <si>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</si>
  <si>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</si>
  <si>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</si>
  <si>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</si>
  <si>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</si>
  <si>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</si>
  <si>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</si>
  <si>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</si>
  <si>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</si>
  <si>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</si>
  <si>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</si>
  <si>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</si>
  <si>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</si>
  <si>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</si>
  <si>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</si>
  <si>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</si>
  <si>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</si>
  <si>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</si>
  <si>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</si>
  <si>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</si>
  <si>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</si>
  <si>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</si>
  <si>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</si>
  <si>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</si>
  <si>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</si>
  <si>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</si>
  <si>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</si>
  <si>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</si>
  <si>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</si>
  <si>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</si>
  <si>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</si>
  <si>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</si>
  <si>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</si>
  <si>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</si>
  <si>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</si>
  <si>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</si>
  <si>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</si>
  <si>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</si>
  <si>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</si>
  <si>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</si>
  <si>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</si>
  <si>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</si>
  <si>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</si>
  <si>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</si>
  <si>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</si>
  <si>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</si>
  <si>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</si>
  <si>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</si>
  <si>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</si>
  <si>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</si>
  <si>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</si>
  <si>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</si>
  <si>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</si>
  <si>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</si>
  <si>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</si>
  <si>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</si>
  <si>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</si>
  <si>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</si>
  <si>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</si>
  <si>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</si>
  <si>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</si>
  <si>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</si>
  <si>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</si>
  <si>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</si>
  <si>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</si>
  <si>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</si>
  <si>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</si>
  <si>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</si>
  <si>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</si>
  <si>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</si>
  <si>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</si>
  <si>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</si>
  <si>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</si>
  <si>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</si>
  <si>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</si>
  <si>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</si>
  <si>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</si>
  <si>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</si>
  <si>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</si>
  <si>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</si>
  <si>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</si>
  <si>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</si>
  <si>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</si>
  <si>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</si>
  <si>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</si>
  <si>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</si>
  <si>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</si>
  <si>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</si>
  <si>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</si>
  <si>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</si>
  <si>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</si>
  <si>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</si>
  <si>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</si>
  <si>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</si>
  <si>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</si>
  <si>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</si>
  <si>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</si>
  <si>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</si>
  <si>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</si>
  <si>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</si>
  <si>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</si>
  <si>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</si>
  <si>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</si>
  <si>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</si>
  <si>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</si>
  <si>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</si>
  <si>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</si>
  <si>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</si>
  <si>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</si>
  <si>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</si>
  <si>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</si>
  <si>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</si>
  <si>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</si>
  <si>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</si>
  <si>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</si>
  <si>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</si>
  <si>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</si>
  <si>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</si>
  <si>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</si>
  <si>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</si>
  <si>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</si>
  <si>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</si>
  <si>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</si>
  <si>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</si>
  <si>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</si>
  <si>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</si>
  <si>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</si>
  <si>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</si>
  <si>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</si>
  <si>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</si>
  <si>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</si>
  <si>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</si>
  <si>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</si>
  <si>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</si>
  <si>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</si>
  <si>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</si>
  <si>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</si>
  <si>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</si>
  <si>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</si>
  <si>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</si>
  <si>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</si>
  <si>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</si>
  <si>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</si>
  <si>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</si>
  <si>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</si>
  <si>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</si>
  <si>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</si>
  <si>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</si>
  <si>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</si>
  <si>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</si>
  <si>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</si>
  <si>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</si>
  <si>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</si>
  <si>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</si>
  <si>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</si>
  <si>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</si>
  <si>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</si>
  <si>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</si>
  <si>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</si>
  <si>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</si>
  <si>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</si>
  <si>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</si>
  <si>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</si>
  <si>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</si>
  <si>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</si>
  <si>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</si>
  <si>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</si>
  <si>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</si>
  <si>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</si>
  <si>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</si>
  <si>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</si>
  <si>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</si>
  <si>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</si>
  <si>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</si>
  <si>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</si>
  <si>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</si>
  <si>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</si>
  <si>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</si>
  <si>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</si>
  <si>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</si>
  <si>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</si>
  <si>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</si>
  <si>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</si>
  <si>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</si>
  <si>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</si>
  <si>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</si>
  <si>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</si>
  <si>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</si>
  <si>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</si>
  <si>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</si>
  <si>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</si>
  <si>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</si>
  <si>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</si>
  <si>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</si>
  <si>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</si>
  <si>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</si>
  <si>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</si>
  <si>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</si>
  <si>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</si>
  <si>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</si>
  <si>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</si>
  <si>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</si>
  <si>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</si>
  <si>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</si>
  <si>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</si>
  <si>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</si>
  <si>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</si>
  <si>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</si>
  <si>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</si>
  <si>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</si>
  <si>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</si>
  <si>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</si>
  <si>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</si>
  <si>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</si>
  <si>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</si>
  <si>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</si>
  <si>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</si>
  <si>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</si>
  <si>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</si>
  <si>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</si>
  <si>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</si>
  <si>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</si>
  <si>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</si>
  <si>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</si>
  <si>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</si>
  <si>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</si>
  <si>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</si>
  <si>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</si>
  <si>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</si>
  <si>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</si>
  <si>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</si>
  <si>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</si>
  <si>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</si>
  <si>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</si>
  <si>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</si>
  <si>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</si>
  <si>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</si>
  <si>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</si>
  <si>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</si>
  <si>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</si>
  <si>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</si>
  <si>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</si>
  <si>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</si>
  <si>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</si>
  <si>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</si>
  <si>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</si>
  <si>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</si>
  <si>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</si>
  <si>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</si>
  <si>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</si>
  <si>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</si>
  <si>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</si>
  <si>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</si>
  <si>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</si>
  <si>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</si>
  <si>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</si>
  <si>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</si>
  <si>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</si>
  <si>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</si>
  <si>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</si>
  <si>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</si>
  <si>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</si>
  <si>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</si>
  <si>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</si>
  <si>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</si>
  <si>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</si>
  <si>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</si>
  <si>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</si>
  <si>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</si>
  <si>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</si>
  <si>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</si>
  <si>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</si>
  <si>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</si>
  <si>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</si>
  <si>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</si>
  <si>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</si>
  <si>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</si>
  <si>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</si>
  <si>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</si>
  <si>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</si>
  <si>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</si>
  <si>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</si>
  <si>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</si>
  <si>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</si>
  <si>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</si>
  <si>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</si>
  <si>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</si>
  <si>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</si>
  <si>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</si>
  <si>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</si>
  <si>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</si>
  <si>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</si>
  <si>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</si>
  <si>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</si>
  <si>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</si>
  <si>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</si>
  <si>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</si>
  <si>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</si>
  <si>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</si>
  <si>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</si>
  <si>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</si>
  <si>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</si>
  <si>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</si>
  <si>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</si>
  <si>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</si>
  <si>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</si>
  <si>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</si>
  <si>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</si>
  <si>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</si>
  <si>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</si>
  <si>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</si>
  <si>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</si>
  <si>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</si>
  <si>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</si>
  <si>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</si>
  <si>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</si>
  <si>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</si>
  <si>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</si>
  <si>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</si>
  <si>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</si>
  <si>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</si>
  <si>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</si>
  <si>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</si>
  <si>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</si>
  <si>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</si>
  <si>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</si>
  <si>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</si>
  <si>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</si>
  <si>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</si>
  <si>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</si>
  <si>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</si>
  <si>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</si>
  <si>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</si>
  <si>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</si>
  <si>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</si>
  <si>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</si>
  <si>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</si>
  <si>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</si>
  <si>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</si>
  <si>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</si>
  <si>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</si>
  <si>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</si>
  <si>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</si>
  <si>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</si>
  <si>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</si>
  <si>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</si>
  <si>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</si>
  <si>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</si>
  <si>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</si>
  <si>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</si>
  <si>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</si>
  <si>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</si>
  <si>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</si>
  <si>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</si>
  <si>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</si>
  <si>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</si>
  <si>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</si>
  <si>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</si>
  <si>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</si>
  <si>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</si>
  <si>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</si>
  <si>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</si>
  <si>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</si>
  <si>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</si>
  <si>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</si>
  <si>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</si>
  <si>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</si>
  <si>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</si>
  <si>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</si>
  <si>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</si>
  <si>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</si>
  <si>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</si>
  <si>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</si>
  <si>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</si>
  <si>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</si>
  <si>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</si>
  <si>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</si>
  <si>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</si>
  <si>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</si>
  <si>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</si>
  <si>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</si>
  <si>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</si>
  <si>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</si>
  <si>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</si>
  <si>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</si>
  <si>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</si>
  <si>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</si>
  <si>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</si>
  <si>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</si>
  <si>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</si>
  <si>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</si>
  <si>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</si>
  <si>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</si>
  <si>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</si>
  <si>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</si>
  <si>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</si>
  <si>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</si>
  <si>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</si>
  <si>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</si>
  <si>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</si>
  <si>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</si>
  <si>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</si>
  <si>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</si>
  <si>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</si>
  <si>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</si>
  <si>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</si>
  <si>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</si>
  <si>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</si>
  <si>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</si>
  <si>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</si>
  <si>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</si>
  <si>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</si>
  <si>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</si>
  <si>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</si>
  <si>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</si>
  <si>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</si>
  <si>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</si>
  <si>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</si>
  <si>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</si>
  <si>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</si>
  <si>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</si>
  <si>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</si>
  <si>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</si>
  <si>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</si>
  <si>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</si>
  <si>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</si>
  <si>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</si>
  <si>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</si>
  <si>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</si>
  <si>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</si>
  <si>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</si>
  <si>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</si>
  <si>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</si>
  <si>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</si>
  <si>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</si>
  <si>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</si>
  <si>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</si>
  <si>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</si>
  <si>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</si>
  <si>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</si>
  <si>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</si>
  <si>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</si>
  <si>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</si>
  <si>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</si>
  <si>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</si>
  <si>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</si>
  <si>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</si>
  <si>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</si>
  <si>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</si>
  <si>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</si>
  <si>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</si>
  <si>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</si>
  <si>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</si>
  <si>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</si>
  <si>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</si>
  <si>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</si>
  <si>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</si>
  <si>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</si>
  <si>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</si>
  <si>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</si>
  <si>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</si>
  <si>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</si>
  <si>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</si>
  <si>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</si>
  <si>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</si>
  <si>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</si>
  <si>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</si>
  <si>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</si>
  <si>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</si>
  <si>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</si>
  <si>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</si>
  <si>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</si>
  <si>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</si>
  <si>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</si>
  <si>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</si>
  <si>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</si>
  <si>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</si>
  <si>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</si>
  <si>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</si>
  <si>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</si>
  <si>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</si>
  <si>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</si>
  <si>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</si>
  <si>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</si>
  <si>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</si>
  <si>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</si>
  <si>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</si>
  <si>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</si>
  <si>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</si>
  <si>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</si>
  <si>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</si>
  <si>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</si>
  <si>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</si>
  <si>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</si>
  <si>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</si>
  <si>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</si>
  <si>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</si>
  <si>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</si>
  <si>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</si>
  <si>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</si>
  <si>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</si>
  <si>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</si>
  <si>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</si>
  <si>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</si>
  <si>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</si>
  <si>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</si>
  <si>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</si>
  <si>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</si>
  <si>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</si>
  <si>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</si>
  <si>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</si>
  <si>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</si>
  <si>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</si>
  <si>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</si>
  <si>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</si>
  <si>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</si>
  <si>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</si>
  <si>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</si>
  <si>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</si>
  <si>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</si>
  <si>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</si>
  <si>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</si>
  <si>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</si>
  <si>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</si>
  <si>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</si>
  <si>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</si>
  <si>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</si>
  <si>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</si>
  <si>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</si>
  <si>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</si>
  <si>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</si>
  <si>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</si>
  <si>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</si>
  <si>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</si>
  <si>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</si>
  <si>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</si>
  <si>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</si>
  <si>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</si>
  <si>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</si>
  <si>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</si>
  <si>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</si>
  <si>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</si>
  <si>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</si>
  <si>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</si>
  <si>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</si>
  <si>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</si>
  <si>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</si>
  <si>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</si>
  <si>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</si>
  <si>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</si>
  <si>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13006</t>
  </si>
  <si>
    <t>DESSEL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</si>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</sst>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98939.868841732372</c:v>
                </c:pt>
                <c:pt idx="1">
                  <c:v>25098.882899493878</c:v>
                </c:pt>
                <c:pt idx="2">
                  <c:v>495.42700000000002</c:v>
                </c:pt>
                <c:pt idx="3">
                  <c:v>4467.9972652991573</c:v>
                </c:pt>
                <c:pt idx="4">
                  <c:v>108695.87894228024</c:v>
                </c:pt>
                <c:pt idx="5">
                  <c:v>33626.961150633244</c:v>
                </c:pt>
                <c:pt idx="6">
                  <c:v>462.13735263947126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96046208"/>
        <c:axId val="182277248"/>
      </c:barChart>
      <c:catAx>
        <c:axId val="196046208"/>
        <c:scaling>
          <c:orientation val="minMax"/>
        </c:scaling>
        <c:axPos val="b"/>
        <c:numFmt formatCode="General" sourceLinked="0"/>
        <c:tickLblPos val="nextTo"/>
        <c:crossAx val="182277248"/>
        <c:crosses val="autoZero"/>
        <c:auto val="1"/>
        <c:lblAlgn val="ctr"/>
        <c:lblOffset val="100"/>
      </c:catAx>
      <c:valAx>
        <c:axId val="182277248"/>
        <c:scaling>
          <c:orientation val="minMax"/>
        </c:scaling>
        <c:axPos val="l"/>
        <c:majorGridlines/>
        <c:numFmt formatCode="#,##0" sourceLinked="1"/>
        <c:tickLblPos val="nextTo"/>
        <c:crossAx val="1960462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98939.868841732372</c:v>
                </c:pt>
                <c:pt idx="1">
                  <c:v>25098.882899493878</c:v>
                </c:pt>
                <c:pt idx="2">
                  <c:v>495.42700000000002</c:v>
                </c:pt>
                <c:pt idx="3">
                  <c:v>4467.9972652991573</c:v>
                </c:pt>
                <c:pt idx="4">
                  <c:v>108695.87894228024</c:v>
                </c:pt>
                <c:pt idx="5">
                  <c:v>33626.961150633244</c:v>
                </c:pt>
                <c:pt idx="6">
                  <c:v>462.13735263947126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18055.518126292023</c:v>
                </c:pt>
                <c:pt idx="1">
                  <c:v>4830.7681552400509</c:v>
                </c:pt>
                <c:pt idx="2">
                  <c:v>103.46111931418316</c:v>
                </c:pt>
                <c:pt idx="3">
                  <c:v>1088.4136581972905</c:v>
                </c:pt>
                <c:pt idx="4">
                  <c:v>18976.364543484837</c:v>
                </c:pt>
                <c:pt idx="5">
                  <c:v>8483.622754239901</c:v>
                </c:pt>
                <c:pt idx="6">
                  <c:v>118.13683897278955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07168"/>
      </c:barChart>
      <c:catAx>
        <c:axId val="182384896"/>
        <c:scaling>
          <c:orientation val="minMax"/>
        </c:scaling>
        <c:axPos val="b"/>
        <c:numFmt formatCode="General" sourceLinked="0"/>
        <c:tickLblPos val="nextTo"/>
        <c:crossAx val="182407168"/>
        <c:crosses val="autoZero"/>
        <c:auto val="1"/>
        <c:lblAlgn val="ctr"/>
        <c:lblOffset val="100"/>
      </c:catAx>
      <c:valAx>
        <c:axId val="182407168"/>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18055.518126292023</c:v>
                </c:pt>
                <c:pt idx="1">
                  <c:v>4830.7681552400509</c:v>
                </c:pt>
                <c:pt idx="2">
                  <c:v>103.46111931418316</c:v>
                </c:pt>
                <c:pt idx="3">
                  <c:v>1088.4136581972905</c:v>
                </c:pt>
                <c:pt idx="4">
                  <c:v>18976.364543484837</c:v>
                </c:pt>
                <c:pt idx="5">
                  <c:v>8483.622754239901</c:v>
                </c:pt>
                <c:pt idx="6">
                  <c:v>118.13683897278955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13006</v>
      </c>
      <c r="B6" s="398"/>
      <c r="C6" s="399"/>
    </row>
    <row r="7" spans="1:7" s="396" customFormat="1" ht="15.75" customHeight="1">
      <c r="A7" s="400" t="str">
        <f>txtMunicipality</f>
        <v>DESSEL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3770</v>
      </c>
      <c r="C9" s="338">
        <v>3959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899</v>
      </c>
    </row>
    <row r="15" spans="1:6">
      <c r="A15" s="1269" t="s">
        <v>184</v>
      </c>
      <c r="B15" s="335">
        <v>1996</v>
      </c>
    </row>
    <row r="16" spans="1:6">
      <c r="A16" s="1269" t="s">
        <v>6</v>
      </c>
      <c r="B16" s="335">
        <v>453</v>
      </c>
    </row>
    <row r="17" spans="1:6">
      <c r="A17" s="1269" t="s">
        <v>7</v>
      </c>
      <c r="B17" s="335">
        <v>35</v>
      </c>
    </row>
    <row r="18" spans="1:6">
      <c r="A18" s="1269" t="s">
        <v>8</v>
      </c>
      <c r="B18" s="335">
        <v>255</v>
      </c>
    </row>
    <row r="19" spans="1:6">
      <c r="A19" s="1269" t="s">
        <v>9</v>
      </c>
      <c r="B19" s="335">
        <v>178</v>
      </c>
    </row>
    <row r="20" spans="1:6">
      <c r="A20" s="1269" t="s">
        <v>10</v>
      </c>
      <c r="B20" s="335">
        <v>109</v>
      </c>
    </row>
    <row r="21" spans="1:6">
      <c r="A21" s="1269" t="s">
        <v>11</v>
      </c>
      <c r="B21" s="335">
        <v>673</v>
      </c>
    </row>
    <row r="22" spans="1:6">
      <c r="A22" s="1269" t="s">
        <v>12</v>
      </c>
      <c r="B22" s="335">
        <v>4900</v>
      </c>
    </row>
    <row r="23" spans="1:6">
      <c r="A23" s="1269" t="s">
        <v>13</v>
      </c>
      <c r="B23" s="335">
        <v>54</v>
      </c>
    </row>
    <row r="24" spans="1:6">
      <c r="A24" s="1269" t="s">
        <v>14</v>
      </c>
      <c r="B24" s="335">
        <v>3</v>
      </c>
    </row>
    <row r="25" spans="1:6">
      <c r="A25" s="1269" t="s">
        <v>15</v>
      </c>
      <c r="B25" s="335">
        <v>183</v>
      </c>
    </row>
    <row r="26" spans="1:6">
      <c r="A26" s="1269" t="s">
        <v>16</v>
      </c>
      <c r="B26" s="335">
        <v>0</v>
      </c>
    </row>
    <row r="27" spans="1:6">
      <c r="A27" s="1269" t="s">
        <v>17</v>
      </c>
      <c r="B27" s="335">
        <v>0</v>
      </c>
    </row>
    <row r="28" spans="1:6" s="341" customFormat="1">
      <c r="A28" s="1270" t="s">
        <v>18</v>
      </c>
      <c r="B28" s="1270">
        <v>71806</v>
      </c>
    </row>
    <row r="29" spans="1:6">
      <c r="A29" s="1270" t="s">
        <v>874</v>
      </c>
      <c r="B29" s="1270">
        <v>26</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4073.7145394049999</v>
      </c>
    </row>
    <row r="39" spans="1:6">
      <c r="A39" s="1269" t="s">
        <v>30</v>
      </c>
      <c r="B39" s="1269" t="s">
        <v>31</v>
      </c>
      <c r="C39" s="335">
        <v>1977</v>
      </c>
      <c r="D39" s="335">
        <v>39977849.6431541</v>
      </c>
      <c r="E39" s="335">
        <v>3718</v>
      </c>
      <c r="F39" s="335">
        <v>14742605.589868199</v>
      </c>
    </row>
    <row r="40" spans="1:6">
      <c r="A40" s="1269" t="s">
        <v>30</v>
      </c>
      <c r="B40" s="1269" t="s">
        <v>29</v>
      </c>
      <c r="C40" s="335">
        <v>0</v>
      </c>
      <c r="D40" s="335">
        <v>0</v>
      </c>
      <c r="E40" s="335">
        <v>0</v>
      </c>
      <c r="F40" s="335">
        <v>0</v>
      </c>
    </row>
    <row r="41" spans="1:6">
      <c r="A41" s="1269" t="s">
        <v>32</v>
      </c>
      <c r="B41" s="1269" t="s">
        <v>33</v>
      </c>
      <c r="C41" s="335">
        <v>25</v>
      </c>
      <c r="D41" s="335">
        <v>805441.71011393005</v>
      </c>
      <c r="E41" s="335">
        <v>90</v>
      </c>
      <c r="F41" s="335">
        <v>2155344.30279965</v>
      </c>
    </row>
    <row r="42" spans="1:6">
      <c r="A42" s="1269" t="s">
        <v>32</v>
      </c>
      <c r="B42" s="1269" t="s">
        <v>34</v>
      </c>
      <c r="C42" s="335">
        <v>0</v>
      </c>
      <c r="D42" s="335">
        <v>0</v>
      </c>
      <c r="E42" s="335">
        <v>5</v>
      </c>
      <c r="F42" s="335">
        <v>16081073.0634248</v>
      </c>
    </row>
    <row r="43" spans="1:6">
      <c r="A43" s="1269" t="s">
        <v>32</v>
      </c>
      <c r="B43" s="1269" t="s">
        <v>35</v>
      </c>
      <c r="C43" s="335">
        <v>0</v>
      </c>
      <c r="D43" s="335">
        <v>0</v>
      </c>
      <c r="E43" s="335">
        <v>0</v>
      </c>
      <c r="F43" s="335">
        <v>0</v>
      </c>
    </row>
    <row r="44" spans="1:6">
      <c r="A44" s="1269" t="s">
        <v>32</v>
      </c>
      <c r="B44" s="1269" t="s">
        <v>36</v>
      </c>
      <c r="C44" s="335">
        <v>0</v>
      </c>
      <c r="D44" s="335">
        <v>0</v>
      </c>
      <c r="E44" s="335">
        <v>3</v>
      </c>
      <c r="F44" s="335">
        <v>93439.043185086004</v>
      </c>
    </row>
    <row r="45" spans="1:6">
      <c r="A45" s="1269" t="s">
        <v>32</v>
      </c>
      <c r="B45" s="1269" t="s">
        <v>37</v>
      </c>
      <c r="C45" s="335">
        <v>0</v>
      </c>
      <c r="D45" s="335">
        <v>0</v>
      </c>
      <c r="E45" s="335">
        <v>6</v>
      </c>
      <c r="F45" s="335">
        <v>643486.03338936705</v>
      </c>
    </row>
    <row r="46" spans="1:6">
      <c r="A46" s="1269" t="s">
        <v>32</v>
      </c>
      <c r="B46" s="1269" t="s">
        <v>38</v>
      </c>
      <c r="C46" s="335">
        <v>0</v>
      </c>
      <c r="D46" s="335">
        <v>0</v>
      </c>
      <c r="E46" s="335">
        <v>0</v>
      </c>
      <c r="F46" s="335">
        <v>0</v>
      </c>
    </row>
    <row r="47" spans="1:6">
      <c r="A47" s="1269" t="s">
        <v>32</v>
      </c>
      <c r="B47" s="1269" t="s">
        <v>39</v>
      </c>
      <c r="C47" s="335">
        <v>3</v>
      </c>
      <c r="D47" s="335">
        <v>8292476.8263487304</v>
      </c>
      <c r="E47" s="335">
        <v>4</v>
      </c>
      <c r="F47" s="335">
        <v>6059740.3646786502</v>
      </c>
    </row>
    <row r="48" spans="1:6">
      <c r="A48" s="1269" t="s">
        <v>32</v>
      </c>
      <c r="B48" s="1269" t="s">
        <v>29</v>
      </c>
      <c r="C48" s="335">
        <v>27</v>
      </c>
      <c r="D48" s="335">
        <v>10253827.9853877</v>
      </c>
      <c r="E48" s="335">
        <v>15</v>
      </c>
      <c r="F48" s="335">
        <v>32228786.747227799</v>
      </c>
    </row>
    <row r="49" spans="1:6">
      <c r="A49" s="1269" t="s">
        <v>32</v>
      </c>
      <c r="B49" s="1269" t="s">
        <v>40</v>
      </c>
      <c r="C49" s="335">
        <v>0</v>
      </c>
      <c r="D49" s="335">
        <v>0</v>
      </c>
      <c r="E49" s="335">
        <v>0</v>
      </c>
      <c r="F49" s="335">
        <v>0</v>
      </c>
    </row>
    <row r="50" spans="1:6">
      <c r="A50" s="1269" t="s">
        <v>32</v>
      </c>
      <c r="B50" s="1269" t="s">
        <v>41</v>
      </c>
      <c r="C50" s="335">
        <v>0</v>
      </c>
      <c r="D50" s="335">
        <v>0</v>
      </c>
      <c r="E50" s="335">
        <v>3</v>
      </c>
      <c r="F50" s="335">
        <v>333361.22147198702</v>
      </c>
    </row>
    <row r="51" spans="1:6">
      <c r="A51" s="1269" t="s">
        <v>42</v>
      </c>
      <c r="B51" s="1269" t="s">
        <v>43</v>
      </c>
      <c r="C51" s="335">
        <v>0</v>
      </c>
      <c r="D51" s="335">
        <v>0</v>
      </c>
      <c r="E51" s="335">
        <v>31</v>
      </c>
      <c r="F51" s="335">
        <v>649749.91917644802</v>
      </c>
    </row>
    <row r="52" spans="1:6">
      <c r="A52" s="1269" t="s">
        <v>42</v>
      </c>
      <c r="B52" s="1269" t="s">
        <v>29</v>
      </c>
      <c r="C52" s="335">
        <v>3</v>
      </c>
      <c r="D52" s="335">
        <v>76505.615535391495</v>
      </c>
      <c r="E52" s="335">
        <v>3</v>
      </c>
      <c r="F52" s="335">
        <v>81269.491857848494</v>
      </c>
    </row>
    <row r="53" spans="1:6">
      <c r="A53" s="1269" t="s">
        <v>44</v>
      </c>
      <c r="B53" s="1269" t="s">
        <v>45</v>
      </c>
      <c r="C53" s="335">
        <v>50</v>
      </c>
      <c r="D53" s="335">
        <v>1138160.6362205299</v>
      </c>
      <c r="E53" s="335">
        <v>110</v>
      </c>
      <c r="F53" s="335">
        <v>517458.86848625401</v>
      </c>
    </row>
    <row r="54" spans="1:6">
      <c r="A54" s="1269" t="s">
        <v>46</v>
      </c>
      <c r="B54" s="1269" t="s">
        <v>47</v>
      </c>
      <c r="C54" s="335">
        <v>0</v>
      </c>
      <c r="D54" s="335">
        <v>0</v>
      </c>
      <c r="E54" s="335">
        <v>1</v>
      </c>
      <c r="F54" s="335">
        <v>495427</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16</v>
      </c>
      <c r="D57" s="335">
        <v>914639.39239047503</v>
      </c>
      <c r="E57" s="335">
        <v>79</v>
      </c>
      <c r="F57" s="335">
        <v>2798113.0467563798</v>
      </c>
    </row>
    <row r="58" spans="1:6">
      <c r="A58" s="1269" t="s">
        <v>49</v>
      </c>
      <c r="B58" s="1269" t="s">
        <v>51</v>
      </c>
      <c r="C58" s="335">
        <v>4</v>
      </c>
      <c r="D58" s="335">
        <v>98470.0288382094</v>
      </c>
      <c r="E58" s="335">
        <v>11</v>
      </c>
      <c r="F58" s="335">
        <v>116387.741934413</v>
      </c>
    </row>
    <row r="59" spans="1:6">
      <c r="A59" s="1269" t="s">
        <v>49</v>
      </c>
      <c r="B59" s="1269" t="s">
        <v>52</v>
      </c>
      <c r="C59" s="335">
        <v>3</v>
      </c>
      <c r="D59" s="335">
        <v>80813.580047027295</v>
      </c>
      <c r="E59" s="335">
        <v>55</v>
      </c>
      <c r="F59" s="335">
        <v>1744108.8953980899</v>
      </c>
    </row>
    <row r="60" spans="1:6">
      <c r="A60" s="1269" t="s">
        <v>49</v>
      </c>
      <c r="B60" s="1269" t="s">
        <v>53</v>
      </c>
      <c r="C60" s="335">
        <v>17</v>
      </c>
      <c r="D60" s="335">
        <v>750968.33272597205</v>
      </c>
      <c r="E60" s="335">
        <v>28</v>
      </c>
      <c r="F60" s="335">
        <v>610086.14889798604</v>
      </c>
    </row>
    <row r="61" spans="1:6">
      <c r="A61" s="1269" t="s">
        <v>49</v>
      </c>
      <c r="B61" s="1269" t="s">
        <v>54</v>
      </c>
      <c r="C61" s="335">
        <v>34</v>
      </c>
      <c r="D61" s="335">
        <v>1927887.3419816301</v>
      </c>
      <c r="E61" s="335">
        <v>89</v>
      </c>
      <c r="F61" s="335">
        <v>1913005.28326943</v>
      </c>
    </row>
    <row r="62" spans="1:6">
      <c r="A62" s="1269" t="s">
        <v>49</v>
      </c>
      <c r="B62" s="1269" t="s">
        <v>55</v>
      </c>
      <c r="C62" s="335">
        <v>0</v>
      </c>
      <c r="D62" s="335">
        <v>0</v>
      </c>
      <c r="E62" s="335">
        <v>0</v>
      </c>
      <c r="F62" s="335">
        <v>0</v>
      </c>
    </row>
    <row r="63" spans="1:6">
      <c r="A63" s="1269" t="s">
        <v>49</v>
      </c>
      <c r="B63" s="1269" t="s">
        <v>29</v>
      </c>
      <c r="C63" s="335">
        <v>86</v>
      </c>
      <c r="D63" s="335">
        <v>7959650.48722752</v>
      </c>
      <c r="E63" s="335">
        <v>80</v>
      </c>
      <c r="F63" s="335">
        <v>2800881.78154966</v>
      </c>
    </row>
    <row r="64" spans="1:6">
      <c r="A64" s="1269" t="s">
        <v>56</v>
      </c>
      <c r="B64" s="1269" t="s">
        <v>57</v>
      </c>
      <c r="C64" s="335">
        <v>0</v>
      </c>
      <c r="D64" s="335">
        <v>0</v>
      </c>
      <c r="E64" s="335">
        <v>0</v>
      </c>
      <c r="F64" s="335">
        <v>0</v>
      </c>
    </row>
    <row r="65" spans="1:6">
      <c r="A65" s="1269" t="s">
        <v>56</v>
      </c>
      <c r="B65" s="1269" t="s">
        <v>29</v>
      </c>
      <c r="C65" s="335">
        <v>2</v>
      </c>
      <c r="D65" s="335">
        <v>71359.605319568596</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11</v>
      </c>
      <c r="F68" s="335">
        <v>196655.03450206399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33681463</v>
      </c>
      <c r="E73" s="335">
        <v>35132416.646801271</v>
      </c>
    </row>
    <row r="74" spans="1:6">
      <c r="A74" s="1269" t="s">
        <v>64</v>
      </c>
      <c r="B74" s="1269" t="s">
        <v>727</v>
      </c>
      <c r="C74" s="1269" t="s">
        <v>728</v>
      </c>
      <c r="D74" s="335">
        <v>1683118.4111827465</v>
      </c>
      <c r="E74" s="335">
        <v>1800532.5342483041</v>
      </c>
    </row>
    <row r="75" spans="1:6">
      <c r="A75" s="1269" t="s">
        <v>65</v>
      </c>
      <c r="B75" s="1269" t="s">
        <v>725</v>
      </c>
      <c r="C75" s="1269" t="s">
        <v>729</v>
      </c>
      <c r="D75" s="335">
        <v>8769899</v>
      </c>
      <c r="E75" s="335">
        <v>9151571.8174995258</v>
      </c>
    </row>
    <row r="76" spans="1:6">
      <c r="A76" s="1269" t="s">
        <v>65</v>
      </c>
      <c r="B76" s="1269" t="s">
        <v>727</v>
      </c>
      <c r="C76" s="1269" t="s">
        <v>730</v>
      </c>
      <c r="D76" s="335">
        <v>391647.41118274641</v>
      </c>
      <c r="E76" s="335">
        <v>421683.24329652125</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122091.17763450716</v>
      </c>
      <c r="C83" s="335">
        <v>120618.13498372601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2938.7263417242275</v>
      </c>
    </row>
    <row r="92" spans="1:6">
      <c r="A92" s="1265" t="s">
        <v>69</v>
      </c>
      <c r="B92" s="338">
        <v>1823.1108828929018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1006</v>
      </c>
    </row>
    <row r="98" spans="1:6">
      <c r="A98" s="1269" t="s">
        <v>72</v>
      </c>
      <c r="B98" s="335">
        <v>2</v>
      </c>
    </row>
    <row r="99" spans="1:6">
      <c r="A99" s="1269" t="s">
        <v>73</v>
      </c>
      <c r="B99" s="335">
        <v>19</v>
      </c>
    </row>
    <row r="100" spans="1:6">
      <c r="A100" s="1269" t="s">
        <v>74</v>
      </c>
      <c r="B100" s="335">
        <v>162</v>
      </c>
    </row>
    <row r="101" spans="1:6">
      <c r="A101" s="1269" t="s">
        <v>75</v>
      </c>
      <c r="B101" s="335">
        <v>78</v>
      </c>
    </row>
    <row r="102" spans="1:6">
      <c r="A102" s="1269" t="s">
        <v>76</v>
      </c>
      <c r="B102" s="335">
        <v>34</v>
      </c>
    </row>
    <row r="103" spans="1:6">
      <c r="A103" s="1269" t="s">
        <v>77</v>
      </c>
      <c r="B103" s="335">
        <v>59</v>
      </c>
    </row>
    <row r="104" spans="1:6">
      <c r="A104" s="1269" t="s">
        <v>78</v>
      </c>
      <c r="B104" s="335">
        <v>1884</v>
      </c>
    </row>
    <row r="105" spans="1:6">
      <c r="A105" s="1265" t="s">
        <v>79</v>
      </c>
      <c r="B105" s="1265">
        <v>11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2</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10</v>
      </c>
      <c r="C123" s="335">
        <v>10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154</v>
      </c>
    </row>
    <row r="130" spans="1:6">
      <c r="A130" s="1269" t="s">
        <v>295</v>
      </c>
      <c r="B130" s="335">
        <v>2</v>
      </c>
    </row>
    <row r="131" spans="1:6">
      <c r="A131" s="1269" t="s">
        <v>296</v>
      </c>
      <c r="B131" s="335">
        <v>3</v>
      </c>
    </row>
    <row r="132" spans="1:6">
      <c r="A132" s="1265" t="s">
        <v>297</v>
      </c>
      <c r="B132" s="338">
        <v>26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86487.910028488026</v>
      </c>
      <c r="C3" s="43" t="s">
        <v>170</v>
      </c>
      <c r="D3" s="43"/>
      <c r="E3" s="156"/>
      <c r="F3" s="43"/>
      <c r="G3" s="43"/>
      <c r="H3" s="43"/>
      <c r="I3" s="43"/>
      <c r="J3" s="43"/>
      <c r="K3" s="96"/>
    </row>
    <row r="4" spans="1:11">
      <c r="A4" s="366" t="s">
        <v>171</v>
      </c>
      <c r="B4" s="49">
        <f>IF(ISERROR('SEAP template'!B69),0,'SEAP template'!B69)</f>
        <v>4761.8372246171293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0.20883221809506378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495.42700000000002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495.42700000000002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0.20883221809506378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103.46111931418316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14742.605589868199</v>
      </c>
      <c r="C5" s="17">
        <f>IF(ISERROR('Eigen informatie GS &amp; warmtenet'!B57),0,'Eigen informatie GS &amp; warmtenet'!B57)</f>
        <v>0</v>
      </c>
      <c r="D5" s="30">
        <f>(SUM(HH_hh_gas_kWh,HH_rest_gas_kWh)/1000)*0.902</f>
        <v>36060.020378124995</v>
      </c>
      <c r="E5" s="17">
        <f>B46*B57</f>
        <v>1141.7371804064981</v>
      </c>
      <c r="F5" s="17">
        <f>B51*B62</f>
        <v>25542.276793292036</v>
      </c>
      <c r="G5" s="18"/>
      <c r="H5" s="17"/>
      <c r="I5" s="17"/>
      <c r="J5" s="17">
        <f>B50*B61+C50*C61</f>
        <v>0</v>
      </c>
      <c r="K5" s="17"/>
      <c r="L5" s="17"/>
      <c r="M5" s="17"/>
      <c r="N5" s="17">
        <f>B48*B59+C48*C59</f>
        <v>17571.71589164975</v>
      </c>
      <c r="O5" s="17">
        <f>B69*B70*B71</f>
        <v>256.38666666666671</v>
      </c>
      <c r="P5" s="17">
        <f>B77*B78*B79/1000-B77*B78*B79/1000/B80</f>
        <v>686.4</v>
      </c>
    </row>
    <row r="6" spans="1:16">
      <c r="A6" s="16" t="s">
        <v>634</v>
      </c>
      <c r="B6" s="831">
        <f>kWh_PV_kleiner_dan_10kW</f>
        <v>2938.7263417242275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17681.331931592427</v>
      </c>
      <c r="C8" s="21">
        <f>C5</f>
        <v>0</v>
      </c>
      <c r="D8" s="21">
        <f>D5</f>
        <v>36060.020378124995</v>
      </c>
      <c r="E8" s="21">
        <f>E5</f>
        <v>1141.7371804064981</v>
      </c>
      <c r="F8" s="21">
        <f>F5</f>
        <v>25542.276793292036</v>
      </c>
      <c r="G8" s="21"/>
      <c r="H8" s="21"/>
      <c r="I8" s="21"/>
      <c r="J8" s="21">
        <f>J5</f>
        <v>0</v>
      </c>
      <c r="K8" s="21"/>
      <c r="L8" s="21">
        <f>L5</f>
        <v>0</v>
      </c>
      <c r="M8" s="21">
        <f>M5</f>
        <v>0</v>
      </c>
      <c r="N8" s="21">
        <f>N5</f>
        <v>17571.71589164975</v>
      </c>
      <c r="O8" s="21">
        <f>O5</f>
        <v>256.38666666666671</v>
      </c>
      <c r="P8" s="21">
        <f>P5</f>
        <v>686.4</v>
      </c>
    </row>
    <row r="9" spans="1:16">
      <c r="B9" s="19"/>
      <c r="C9" s="19"/>
      <c r="D9" s="261"/>
      <c r="E9" s="19"/>
      <c r="F9" s="19"/>
      <c r="G9" s="19"/>
      <c r="H9" s="19"/>
      <c r="I9" s="19"/>
      <c r="J9" s="19"/>
      <c r="K9" s="19"/>
      <c r="L9" s="19"/>
      <c r="M9" s="19"/>
      <c r="N9" s="19"/>
      <c r="O9" s="19"/>
      <c r="P9" s="19"/>
    </row>
    <row r="10" spans="1:16">
      <c r="A10" s="24" t="s">
        <v>214</v>
      </c>
      <c r="B10" s="25">
        <f ca="1">'EF ele_warmte'!B12</f>
        <v>0.20883221809506378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3692.4317661495252</v>
      </c>
      <c r="C12" s="23">
        <f ca="1">C10*C8</f>
        <v>0</v>
      </c>
      <c r="D12" s="23">
        <f>D8*D10</f>
        <v>7284.1241163812492</v>
      </c>
      <c r="E12" s="23">
        <f>E10*E8</f>
        <v>259.17433995227509</v>
      </c>
      <c r="F12" s="23">
        <f>F10*F8</f>
        <v>6819.7879038089741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1006</v>
      </c>
      <c r="C18" s="168" t="s">
        <v>111</v>
      </c>
      <c r="D18" s="230"/>
      <c r="E18" s="15"/>
    </row>
    <row r="19" spans="1:7">
      <c r="A19" s="173" t="s">
        <v>72</v>
      </c>
      <c r="B19" s="37">
        <f>aantalw2001_ander</f>
        <v>2</v>
      </c>
      <c r="C19" s="168" t="s">
        <v>111</v>
      </c>
      <c r="D19" s="231"/>
      <c r="E19" s="15"/>
    </row>
    <row r="20" spans="1:7">
      <c r="A20" s="173" t="s">
        <v>73</v>
      </c>
      <c r="B20" s="37">
        <f>aantalw2001_propaan</f>
        <v>19</v>
      </c>
      <c r="C20" s="169">
        <f>IF(ISERROR(B20/SUM($B$20,$B$21,$B$22)*100),0,B20/SUM($B$20,$B$21,$B$22)*100)</f>
        <v>7.3359073359073363</v>
      </c>
      <c r="D20" s="231"/>
      <c r="E20" s="15"/>
    </row>
    <row r="21" spans="1:7">
      <c r="A21" s="173" t="s">
        <v>74</v>
      </c>
      <c r="B21" s="37">
        <f>aantalw2001_elektriciteit</f>
        <v>162</v>
      </c>
      <c r="C21" s="169">
        <f>IF(ISERROR(B21/SUM($B$20,$B$21,$B$22)*100),0,B21/SUM($B$20,$B$21,$B$22)*100)</f>
        <v>62.548262548262542</v>
      </c>
      <c r="D21" s="231"/>
      <c r="E21" s="15"/>
    </row>
    <row r="22" spans="1:7">
      <c r="A22" s="173" t="s">
        <v>75</v>
      </c>
      <c r="B22" s="37">
        <f>aantalw2001_hout</f>
        <v>78</v>
      </c>
      <c r="C22" s="169">
        <f>IF(ISERROR(B22/SUM($B$20,$B$21,$B$22)*100),0,B22/SUM($B$20,$B$21,$B$22)*100)</f>
        <v>30.115830115830118</v>
      </c>
      <c r="D22" s="231"/>
      <c r="E22" s="15"/>
    </row>
    <row r="23" spans="1:7">
      <c r="A23" s="173" t="s">
        <v>76</v>
      </c>
      <c r="B23" s="37">
        <f>aantalw2001_niet_gespec</f>
        <v>34</v>
      </c>
      <c r="C23" s="168" t="s">
        <v>111</v>
      </c>
      <c r="D23" s="230"/>
      <c r="E23" s="15"/>
    </row>
    <row r="24" spans="1:7">
      <c r="A24" s="173" t="s">
        <v>77</v>
      </c>
      <c r="B24" s="37">
        <f>aantalw2001_steenkool</f>
        <v>59</v>
      </c>
      <c r="C24" s="168" t="s">
        <v>111</v>
      </c>
      <c r="D24" s="231"/>
      <c r="E24" s="15"/>
    </row>
    <row r="25" spans="1:7">
      <c r="A25" s="173" t="s">
        <v>78</v>
      </c>
      <c r="B25" s="37">
        <f>aantalw2001_stookolie</f>
        <v>1884</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3770</v>
      </c>
      <c r="C28" s="36"/>
      <c r="D28" s="230"/>
    </row>
    <row r="29" spans="1:7" s="15" customFormat="1">
      <c r="A29" s="232" t="s">
        <v>746</v>
      </c>
      <c r="B29" s="37">
        <f>SUM(HH_hh_gas_aantal,HH_rest_gas_aantal)</f>
        <v>1977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1977</v>
      </c>
      <c r="C32" s="169">
        <f>IF(ISERROR(B32/SUM($B$32,$B$34,$B$35,$B$36,$B$38,$B$39)*100),0,B32/SUM($B$32,$B$34,$B$35,$B$36,$B$38,$B$39)*100)</f>
        <v>52.945902517407603</v>
      </c>
      <c r="D32" s="235"/>
      <c r="G32" s="15"/>
    </row>
    <row r="33" spans="1:7">
      <c r="A33" s="173" t="s">
        <v>72</v>
      </c>
      <c r="B33" s="34" t="s">
        <v>111</v>
      </c>
      <c r="C33" s="169"/>
      <c r="D33" s="235"/>
      <c r="G33" s="15"/>
    </row>
    <row r="34" spans="1:7">
      <c r="A34" s="173" t="s">
        <v>73</v>
      </c>
      <c r="B34" s="33">
        <f>IF((($B$28-$B$32-$B$39-$B$77-$B$38)*C20/100)&lt;0,0,($B$28-$B$32-$B$39-$B$77-$B$38)*C20/100)</f>
        <v>54.791891891891893</v>
      </c>
      <c r="C34" s="169">
        <f>IF(ISERROR(B34/SUM($B$32,$B$34,$B$35,$B$36,$B$38,$B$39)*100),0,B34/SUM($B$32,$B$34,$B$35,$B$36,$B$38,$B$39)*100)</f>
        <v>1.4673779296168155</v>
      </c>
      <c r="D34" s="235"/>
      <c r="G34" s="15"/>
    </row>
    <row r="35" spans="1:7">
      <c r="A35" s="173" t="s">
        <v>74</v>
      </c>
      <c r="B35" s="33">
        <f>IF((($B$28-$B$32-$B$39-$B$77-$B$38)*C21/100)&lt;0,0,($B$28-$B$32-$B$39-$B$77-$B$38)*C21/100)</f>
        <v>467.17297297297296</v>
      </c>
      <c r="C35" s="169">
        <f>IF(ISERROR(B35/SUM($B$32,$B$34,$B$35,$B$36,$B$38,$B$39)*100),0,B35/SUM($B$32,$B$34,$B$35,$B$36,$B$38,$B$39)*100)</f>
        <v>12.511327610417059</v>
      </c>
      <c r="D35" s="235"/>
      <c r="G35" s="15"/>
    </row>
    <row r="36" spans="1:7">
      <c r="A36" s="173" t="s">
        <v>75</v>
      </c>
      <c r="B36" s="33">
        <f>IF((($B$28-$B$32-$B$39-$B$77-$B$38)*C22/100)&lt;0,0,($B$28-$B$32-$B$39-$B$77-$B$38)*C22/100)</f>
        <v>224.93513513513514</v>
      </c>
      <c r="C36" s="169">
        <f>IF(ISERROR(B36/SUM($B$32,$B$34,$B$35,$B$36,$B$38,$B$39)*100),0,B36/SUM($B$32,$B$34,$B$35,$B$36,$B$38,$B$39)*100)</f>
        <v>6.0239725531637696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1010.1</v>
      </c>
      <c r="C39" s="169">
        <f>IF(ISERROR(B39/SUM($B$32,$B$34,$B$35,$B$36,$B$38,$B$39)*100),0,B39/SUM($B$32,$B$34,$B$35,$B$36,$B$38,$B$39)*100)</f>
        <v>27.051419389394756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1977</v>
      </c>
      <c r="C44" s="34" t="s">
        <v>111</v>
      </c>
      <c r="D44" s="176"/>
    </row>
    <row r="45" spans="1:7">
      <c r="A45" s="173" t="s">
        <v>72</v>
      </c>
      <c r="B45" s="33" t="str">
        <f t="shared" si="0"/>
        <v>-</v>
      </c>
      <c r="C45" s="34" t="s">
        <v>111</v>
      </c>
      <c r="D45" s="176"/>
    </row>
    <row r="46" spans="1:7">
      <c r="A46" s="173" t="s">
        <v>73</v>
      </c>
      <c r="B46" s="33">
        <f t="shared" si="0"/>
        <v>54.791891891891893</v>
      </c>
      <c r="C46" s="34" t="s">
        <v>111</v>
      </c>
      <c r="D46" s="176"/>
    </row>
    <row r="47" spans="1:7">
      <c r="A47" s="173" t="s">
        <v>74</v>
      </c>
      <c r="B47" s="33">
        <f t="shared" si="0"/>
        <v>467.17297297297296</v>
      </c>
      <c r="C47" s="34" t="s">
        <v>111</v>
      </c>
      <c r="D47" s="176"/>
    </row>
    <row r="48" spans="1:7">
      <c r="A48" s="173" t="s">
        <v>75</v>
      </c>
      <c r="B48" s="33">
        <f t="shared" si="0"/>
        <v>224.93513513513514</v>
      </c>
      <c r="C48" s="33">
        <f>B48*10</f>
        <v>2249.3513513513512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1010.1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9982.5828978059581</v>
      </c>
      <c r="C5" s="17">
        <f>IF(ISERROR('Eigen informatie GS &amp; warmtenet'!B58),0,'Eigen informatie GS &amp; warmtenet'!B58)</f>
        <v>0</v>
      </c>
      <c r="D5" s="30">
        <f>SUM(D6:D12)</f>
        <v>10582.651105216173</v>
      </c>
      <c r="E5" s="17">
        <f>SUM(E6:E12)</f>
        <v>113.9030048830225</v>
      </c>
      <c r="F5" s="17">
        <f>SUM(F6:F12)</f>
        <v>2181.7667453605623</v>
      </c>
      <c r="G5" s="18"/>
      <c r="H5" s="17"/>
      <c r="I5" s="17"/>
      <c r="J5" s="17">
        <f>SUM(J6:J12)</f>
        <v>0</v>
      </c>
      <c r="K5" s="17"/>
      <c r="L5" s="17"/>
      <c r="M5" s="17"/>
      <c r="N5" s="17">
        <f>SUM(N6:N12)</f>
        <v>2177.6524795614982</v>
      </c>
      <c r="O5" s="17">
        <f>B38*B39*B40</f>
        <v>3.1266666666666669</v>
      </c>
      <c r="P5" s="17">
        <f>B46*B47*B48/1000-B46*B47*B48/1000/B49</f>
        <v>57.2</v>
      </c>
      <c r="R5" s="32"/>
    </row>
    <row r="6" spans="1:18">
      <c r="A6" s="32" t="s">
        <v>54</v>
      </c>
      <c r="B6" s="37">
        <f>B26</f>
        <v>1913.00528326943</v>
      </c>
      <c r="C6" s="33"/>
      <c r="D6" s="37">
        <f>IF(ISERROR(TER_kantoor_gas_kWh/1000),0,TER_kantoor_gas_kWh/1000)*0.902</f>
        <v>1738.9543824674304</v>
      </c>
      <c r="E6" s="33">
        <f>$C$26*'E Balans VL '!I12/100/3.6*1000000</f>
        <v>7.432430532317861</v>
      </c>
      <c r="F6" s="33">
        <f>$C$26*('E Balans VL '!L12+'E Balans VL '!N12)/100/3.6*1000000</f>
        <v>290.95069662500583</v>
      </c>
      <c r="G6" s="34"/>
      <c r="H6" s="33"/>
      <c r="I6" s="33"/>
      <c r="J6" s="33">
        <f>$C$26*('E Balans VL '!D12+'E Balans VL '!E12)/100/3.6*1000000</f>
        <v>0</v>
      </c>
      <c r="K6" s="33"/>
      <c r="L6" s="33"/>
      <c r="M6" s="33"/>
      <c r="N6" s="33">
        <f>$C$26*'E Balans VL '!Y12/100/3.6*1000000</f>
        <v>1.0542950834705762</v>
      </c>
      <c r="O6" s="33"/>
      <c r="P6" s="33"/>
      <c r="R6" s="32"/>
    </row>
    <row r="7" spans="1:18">
      <c r="A7" s="32" t="s">
        <v>53</v>
      </c>
      <c r="B7" s="37">
        <f t="shared" ref="B7:B12" si="0">B27</f>
        <v>610.08614889798605</v>
      </c>
      <c r="C7" s="33"/>
      <c r="D7" s="37">
        <f>IF(ISERROR(TER_horeca_gas_kWh/1000),0,TER_horeca_gas_kWh/1000)*0.902</f>
        <v>677.37343611882682</v>
      </c>
      <c r="E7" s="33">
        <f>$C$27*'E Balans VL '!I9/100/3.6*1000000</f>
        <v>34.366315877435298</v>
      </c>
      <c r="F7" s="33">
        <f>$C$27*('E Balans VL '!L9+'E Balans VL '!N9)/100/3.6*1000000</f>
        <v>175.91232023006819</v>
      </c>
      <c r="G7" s="34"/>
      <c r="H7" s="33"/>
      <c r="I7" s="33"/>
      <c r="J7" s="33">
        <f>$C$27*('E Balans VL '!D9+'E Balans VL '!E9)/100/3.6*1000000</f>
        <v>0</v>
      </c>
      <c r="K7" s="33"/>
      <c r="L7" s="33"/>
      <c r="M7" s="33"/>
      <c r="N7" s="33">
        <f>$C$27*'E Balans VL '!Y9/100/3.6*1000000</f>
        <v>0.16844161540481994</v>
      </c>
      <c r="O7" s="33"/>
      <c r="P7" s="33"/>
      <c r="R7" s="32"/>
    </row>
    <row r="8" spans="1:18">
      <c r="A8" s="6" t="s">
        <v>52</v>
      </c>
      <c r="B8" s="37">
        <f t="shared" si="0"/>
        <v>1744.10889539809</v>
      </c>
      <c r="C8" s="33"/>
      <c r="D8" s="37">
        <f>IF(ISERROR(TER_handel_gas_kWh/1000),0,TER_handel_gas_kWh/1000)*0.902</f>
        <v>72.893849202418622</v>
      </c>
      <c r="E8" s="33">
        <f>$C$28*'E Balans VL '!I13/100/3.6*1000000</f>
        <v>25.138526355553797</v>
      </c>
      <c r="F8" s="33">
        <f>$C$28*('E Balans VL '!L13+'E Balans VL '!N13)/100/3.6*1000000</f>
        <v>302.99233268599608</v>
      </c>
      <c r="G8" s="34"/>
      <c r="H8" s="33"/>
      <c r="I8" s="33"/>
      <c r="J8" s="33">
        <f>$C$28*('E Balans VL '!D13+'E Balans VL '!E13)/100/3.6*1000000</f>
        <v>0</v>
      </c>
      <c r="K8" s="33"/>
      <c r="L8" s="33"/>
      <c r="M8" s="33"/>
      <c r="N8" s="33">
        <f>$C$28*'E Balans VL '!Y13/100/3.6*1000000</f>
        <v>5.2255444088146037</v>
      </c>
      <c r="O8" s="33"/>
      <c r="P8" s="33"/>
      <c r="R8" s="32"/>
    </row>
    <row r="9" spans="1:18">
      <c r="A9" s="32" t="s">
        <v>51</v>
      </c>
      <c r="B9" s="37">
        <f t="shared" si="0"/>
        <v>116.387741934413</v>
      </c>
      <c r="C9" s="33"/>
      <c r="D9" s="37">
        <f>IF(ISERROR(TER_gezond_gas_kWh/1000),0,TER_gezond_gas_kWh/1000)*0.902</f>
        <v>88.819966012064882</v>
      </c>
      <c r="E9" s="33">
        <f>$C$29*'E Balans VL '!I10/100/3.6*1000000</f>
        <v>0.1243322749808294</v>
      </c>
      <c r="F9" s="33">
        <f>$C$29*('E Balans VL '!L10+'E Balans VL '!N10)/100/3.6*1000000</f>
        <v>18.986377865712782</v>
      </c>
      <c r="G9" s="34"/>
      <c r="H9" s="33"/>
      <c r="I9" s="33"/>
      <c r="J9" s="33">
        <f>$C$29*('E Balans VL '!D10+'E Balans VL '!E10)/100/3.6*1000000</f>
        <v>0</v>
      </c>
      <c r="K9" s="33"/>
      <c r="L9" s="33"/>
      <c r="M9" s="33"/>
      <c r="N9" s="33">
        <f>$C$29*'E Balans VL '!Y10/100/3.6*1000000</f>
        <v>1.1981453936941244</v>
      </c>
      <c r="O9" s="33"/>
      <c r="P9" s="33"/>
      <c r="R9" s="32"/>
    </row>
    <row r="10" spans="1:18">
      <c r="A10" s="32" t="s">
        <v>50</v>
      </c>
      <c r="B10" s="37">
        <f t="shared" si="0"/>
        <v>2798.1130467563798</v>
      </c>
      <c r="C10" s="33"/>
      <c r="D10" s="37">
        <f>IF(ISERROR(TER_ander_gas_kWh/1000),0,TER_ander_gas_kWh/1000)*0.902</f>
        <v>825.00473193620849</v>
      </c>
      <c r="E10" s="33">
        <f>$C$30*'E Balans VL '!I14/100/3.6*1000000</f>
        <v>12.86809627744252</v>
      </c>
      <c r="F10" s="33">
        <f>$C$30*('E Balans VL '!L14+'E Balans VL '!N14)/100/3.6*1000000</f>
        <v>838.68274053107791</v>
      </c>
      <c r="G10" s="34"/>
      <c r="H10" s="33"/>
      <c r="I10" s="33"/>
      <c r="J10" s="33">
        <f>$C$30*('E Balans VL '!D14+'E Balans VL '!E14)/100/3.6*1000000</f>
        <v>0</v>
      </c>
      <c r="K10" s="33"/>
      <c r="L10" s="33"/>
      <c r="M10" s="33"/>
      <c r="N10" s="33">
        <f>$C$30*'E Balans VL '!Y14/100/3.6*1000000</f>
        <v>1947.6713861355261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2800.88178154966</v>
      </c>
      <c r="C12" s="33"/>
      <c r="D12" s="37">
        <f>IF(ISERROR(TER_rest_gas_kWh/1000),0,TER_rest_gas_kWh/1000)*0.902</f>
        <v>7179.6047394792231</v>
      </c>
      <c r="E12" s="33">
        <f>$C$32*'E Balans VL '!I8/100/3.6*1000000</f>
        <v>33.973303565292191</v>
      </c>
      <c r="F12" s="33">
        <f>$C$32*('E Balans VL '!L8+'E Balans VL '!N8)/100/3.6*1000000</f>
        <v>554.24227742270148</v>
      </c>
      <c r="G12" s="34"/>
      <c r="H12" s="33"/>
      <c r="I12" s="33"/>
      <c r="J12" s="33">
        <f>$C$32*('E Balans VL '!D8+'E Balans VL '!E8)/100/3.6*1000000</f>
        <v>0</v>
      </c>
      <c r="K12" s="33"/>
      <c r="L12" s="33"/>
      <c r="M12" s="33"/>
      <c r="N12" s="33">
        <f>$C$32*'E Balans VL '!Y8/100/3.6*1000000</f>
        <v>222.33466692458816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9982.5828978059581</v>
      </c>
      <c r="C16" s="21">
        <f t="shared" ca="1" si="1"/>
        <v>0</v>
      </c>
      <c r="D16" s="21">
        <f t="shared" ca="1" si="1"/>
        <v>10582.651105216173</v>
      </c>
      <c r="E16" s="21">
        <f t="shared" si="1"/>
        <v>113.9030048830225</v>
      </c>
      <c r="F16" s="21">
        <f t="shared" ca="1" si="1"/>
        <v>2181.7667453605623</v>
      </c>
      <c r="G16" s="21">
        <f t="shared" si="1"/>
        <v>0</v>
      </c>
      <c r="H16" s="21">
        <f t="shared" si="1"/>
        <v>0</v>
      </c>
      <c r="I16" s="21">
        <f t="shared" si="1"/>
        <v>0</v>
      </c>
      <c r="J16" s="21">
        <f t="shared" si="1"/>
        <v>0</v>
      </c>
      <c r="K16" s="21">
        <f t="shared" si="1"/>
        <v>0</v>
      </c>
      <c r="L16" s="21">
        <f t="shared" ca="1" si="1"/>
        <v>0</v>
      </c>
      <c r="M16" s="21">
        <f t="shared" si="1"/>
        <v>0</v>
      </c>
      <c r="N16" s="21">
        <f t="shared" ca="1" si="1"/>
        <v>2177.6524795614982</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0.20883221809506378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2084.6849288666676</v>
      </c>
      <c r="C20" s="23">
        <f t="shared" ref="C20:P20" ca="1" si="2">C16*C18</f>
        <v>0</v>
      </c>
      <c r="D20" s="23">
        <f t="shared" ca="1" si="2"/>
        <v>2137.695523253667</v>
      </c>
      <c r="E20" s="23">
        <f t="shared" si="2"/>
        <v>25.85598210844611</v>
      </c>
      <c r="F20" s="23">
        <f t="shared" ca="1" si="2"/>
        <v>582.53172101127018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1913.00528326943</v>
      </c>
      <c r="C26" s="39">
        <f>IF(ISERROR(B26*3.6/1000000/'E Balans VL '!Z12*100),0,B26*3.6/1000000/'E Balans VL '!Z12*100)</f>
        <v>4.0633179796276356E-2</v>
      </c>
      <c r="D26" s="239" t="s">
        <v>692</v>
      </c>
      <c r="F26" s="6"/>
    </row>
    <row r="27" spans="1:18">
      <c r="A27" s="233" t="s">
        <v>53</v>
      </c>
      <c r="B27" s="33">
        <f>IF(ISERROR(TER_horeca_ele_kWh/1000),0,TER_horeca_ele_kWh/1000)</f>
        <v>610.08614889798605</v>
      </c>
      <c r="C27" s="39">
        <f>IF(ISERROR(B27*3.6/1000000/'E Balans VL '!Z9*100),0,B27*3.6/1000000/'E Balans VL '!Z9*100)</f>
        <v>4.743791354923238E-2</v>
      </c>
      <c r="D27" s="239" t="s">
        <v>692</v>
      </c>
      <c r="F27" s="6"/>
    </row>
    <row r="28" spans="1:18">
      <c r="A28" s="173" t="s">
        <v>52</v>
      </c>
      <c r="B28" s="33">
        <f>IF(ISERROR(TER_handel_ele_kWh/1000),0,TER_handel_ele_kWh/1000)</f>
        <v>1744.10889539809</v>
      </c>
      <c r="C28" s="39">
        <f>IF(ISERROR(B28*3.6/1000000/'E Balans VL '!Z13*100),0,B28*3.6/1000000/'E Balans VL '!Z13*100)</f>
        <v>4.9901008108176159E-2</v>
      </c>
      <c r="D28" s="239" t="s">
        <v>692</v>
      </c>
      <c r="F28" s="6"/>
    </row>
    <row r="29" spans="1:18">
      <c r="A29" s="233" t="s">
        <v>51</v>
      </c>
      <c r="B29" s="33">
        <f>IF(ISERROR(TER_gezond_ele_kWh/1000),0,TER_gezond_ele_kWh/1000)</f>
        <v>116.387741934413</v>
      </c>
      <c r="C29" s="39">
        <f>IF(ISERROR(B29*3.6/1000000/'E Balans VL '!Z10*100),0,B29*3.6/1000000/'E Balans VL '!Z10*100)</f>
        <v>1.268896839761474E-2</v>
      </c>
      <c r="D29" s="239" t="s">
        <v>692</v>
      </c>
      <c r="F29" s="6"/>
    </row>
    <row r="30" spans="1:18">
      <c r="A30" s="233" t="s">
        <v>50</v>
      </c>
      <c r="B30" s="33">
        <f>IF(ISERROR(TER_ander_ele_kWh/1000),0,TER_ander_ele_kWh/1000)</f>
        <v>2798.1130467563798</v>
      </c>
      <c r="C30" s="39">
        <f>IF(ISERROR(B30*3.6/1000000/'E Balans VL '!Z14*100),0,B30*3.6/1000000/'E Balans VL '!Z14*100)</f>
        <v>0.20475956539265255</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2800.88178154966</v>
      </c>
      <c r="C32" s="39">
        <f>IF(ISERROR(B32*3.6/1000000/'E Balans VL '!Z8*100),0,B32*3.6/1000000/'E Balans VL '!Z8*100)</f>
        <v>2.2825486750840385E-2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57595.230776177341</v>
      </c>
      <c r="C5" s="17">
        <f>IF(ISERROR('Eigen informatie GS &amp; warmtenet'!B59),0,'Eigen informatie GS &amp; warmtenet'!B59)</f>
        <v>0</v>
      </c>
      <c r="D5" s="30">
        <f>SUM(D6:D15)</f>
        <v>17455.275362709028</v>
      </c>
      <c r="E5" s="17">
        <f>SUM(E6:E15)</f>
        <v>2555.7756567242504</v>
      </c>
      <c r="F5" s="17">
        <f>SUM(F6:F15)</f>
        <v>10531.841508597823</v>
      </c>
      <c r="G5" s="18"/>
      <c r="H5" s="17"/>
      <c r="I5" s="17"/>
      <c r="J5" s="17">
        <f>SUM(J6:J15)</f>
        <v>86.147934066078179</v>
      </c>
      <c r="K5" s="17"/>
      <c r="L5" s="17"/>
      <c r="M5" s="17"/>
      <c r="N5" s="17">
        <f>SUM(N6:N15)</f>
        <v>20471.607704005732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93.439043185086007</v>
      </c>
      <c r="C8" s="33"/>
      <c r="D8" s="37">
        <f>IF( ISERROR(IND_metaal_Gas_kWH/1000),0,IND_metaal_Gas_kWH/1000)*0.902</f>
        <v>0</v>
      </c>
      <c r="E8" s="33">
        <f>C30*'E Balans VL '!I18/100/3.6*1000000</f>
        <v>2.6839200474170872</v>
      </c>
      <c r="F8" s="33">
        <f>C30*'E Balans VL '!L18/100/3.6*1000000+C30*'E Balans VL '!N18/100/3.6*1000000</f>
        <v>23.96531748591185</v>
      </c>
      <c r="G8" s="34"/>
      <c r="H8" s="33"/>
      <c r="I8" s="33"/>
      <c r="J8" s="40">
        <f>C30*'E Balans VL '!D18/100/3.6*1000000+C30*'E Balans VL '!E18/100/3.6*1000000</f>
        <v>0</v>
      </c>
      <c r="K8" s="33"/>
      <c r="L8" s="33"/>
      <c r="M8" s="33"/>
      <c r="N8" s="33">
        <f>C30*'E Balans VL '!Y18/100/3.6*1000000</f>
        <v>2.5370607585852838</v>
      </c>
      <c r="O8" s="33"/>
      <c r="P8" s="33"/>
      <c r="R8" s="32"/>
    </row>
    <row r="9" spans="1:18">
      <c r="A9" s="6" t="s">
        <v>33</v>
      </c>
      <c r="B9" s="37">
        <f t="shared" si="0"/>
        <v>2155.34430279965</v>
      </c>
      <c r="C9" s="33"/>
      <c r="D9" s="37">
        <f>IF( ISERROR(IND_andere_gas_kWh/1000),0,IND_andere_gas_kWh/1000)*0.902</f>
        <v>726.50842252276493</v>
      </c>
      <c r="E9" s="33">
        <f>C31*'E Balans VL '!I19/100/3.6*1000000</f>
        <v>583.39870923031776</v>
      </c>
      <c r="F9" s="33">
        <f>C31*'E Balans VL '!L19/100/3.6*1000000+C31*'E Balans VL '!N19/100/3.6*1000000</f>
        <v>1435.687388736133</v>
      </c>
      <c r="G9" s="34"/>
      <c r="H9" s="33"/>
      <c r="I9" s="33"/>
      <c r="J9" s="40">
        <f>C31*'E Balans VL '!D19/100/3.6*1000000+C31*'E Balans VL '!E19/100/3.6*1000000</f>
        <v>0</v>
      </c>
      <c r="K9" s="33"/>
      <c r="L9" s="33"/>
      <c r="M9" s="33"/>
      <c r="N9" s="33">
        <f>C31*'E Balans VL '!Y19/100/3.6*1000000</f>
        <v>703.68411153005684</v>
      </c>
      <c r="O9" s="33"/>
      <c r="P9" s="33"/>
      <c r="R9" s="32"/>
    </row>
    <row r="10" spans="1:18">
      <c r="A10" s="6" t="s">
        <v>41</v>
      </c>
      <c r="B10" s="37">
        <f t="shared" si="0"/>
        <v>333.36122147198705</v>
      </c>
      <c r="C10" s="33"/>
      <c r="D10" s="37">
        <f>IF( ISERROR(IND_voed_gas_kWh/1000),0,IND_voed_gas_kWh/1000)*0.902</f>
        <v>0</v>
      </c>
      <c r="E10" s="33">
        <f>C32*'E Balans VL '!I20/100/3.6*1000000</f>
        <v>27.189707100732424</v>
      </c>
      <c r="F10" s="33">
        <f>C32*'E Balans VL '!L20/100/3.6*1000000+C32*'E Balans VL '!N20/100/3.6*1000000</f>
        <v>497.07182639486632</v>
      </c>
      <c r="G10" s="34"/>
      <c r="H10" s="33"/>
      <c r="I10" s="33"/>
      <c r="J10" s="40">
        <f>C32*'E Balans VL '!D20/100/3.6*1000000+C32*'E Balans VL '!E20/100/3.6*1000000</f>
        <v>4.4099643138350618E-3</v>
      </c>
      <c r="K10" s="33"/>
      <c r="L10" s="33"/>
      <c r="M10" s="33"/>
      <c r="N10" s="33">
        <f>C32*'E Balans VL '!Y20/100/3.6*1000000</f>
        <v>97.929763819348452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643.48603338936709</v>
      </c>
      <c r="C12" s="33"/>
      <c r="D12" s="37">
        <f>IF( ISERROR(IND_min_gas_kWh/1000),0,IND_min_gas_kWh/1000)*0.902</f>
        <v>0</v>
      </c>
      <c r="E12" s="33">
        <f>C34*'E Balans VL '!I22/100/3.6*1000000</f>
        <v>5.0126159904645942</v>
      </c>
      <c r="F12" s="33">
        <f>C34*'E Balans VL '!L22/100/3.6*1000000+C34*'E Balans VL '!N22/100/3.6*1000000</f>
        <v>242.68338836997259</v>
      </c>
      <c r="G12" s="34"/>
      <c r="H12" s="33"/>
      <c r="I12" s="33"/>
      <c r="J12" s="40">
        <f>C34*'E Balans VL '!D22/100/3.6*1000000+C34*'E Balans VL '!E22/100/3.6*1000000</f>
        <v>3.5391169217738563</v>
      </c>
      <c r="K12" s="33"/>
      <c r="L12" s="33"/>
      <c r="M12" s="33"/>
      <c r="N12" s="33">
        <f>C34*'E Balans VL '!Y22/100/3.6*1000000</f>
        <v>0</v>
      </c>
      <c r="O12" s="33"/>
      <c r="P12" s="33"/>
      <c r="R12" s="32"/>
    </row>
    <row r="13" spans="1:18">
      <c r="A13" s="6" t="s">
        <v>39</v>
      </c>
      <c r="B13" s="37">
        <f t="shared" si="0"/>
        <v>6059.7403646786497</v>
      </c>
      <c r="C13" s="33"/>
      <c r="D13" s="37">
        <f>IF( ISERROR(IND_papier_gas_kWh/1000),0,IND_papier_gas_kWh/1000)*0.902</f>
        <v>7479.8140973665559</v>
      </c>
      <c r="E13" s="33">
        <f>C35*'E Balans VL '!I23/100/3.6*1000000</f>
        <v>63.48681981968997</v>
      </c>
      <c r="F13" s="33">
        <f>C35*'E Balans VL '!L23/100/3.6*1000000+C35*'E Balans VL '!N23/100/3.6*1000000</f>
        <v>452.17890007726157</v>
      </c>
      <c r="G13" s="34"/>
      <c r="H13" s="33"/>
      <c r="I13" s="33"/>
      <c r="J13" s="40">
        <f>C35*'E Balans VL '!D23/100/3.6*1000000+C35*'E Balans VL '!E23/100/3.6*1000000</f>
        <v>0</v>
      </c>
      <c r="K13" s="33"/>
      <c r="L13" s="33"/>
      <c r="M13" s="33"/>
      <c r="N13" s="33">
        <f>C35*'E Balans VL '!Y23/100/3.6*1000000</f>
        <v>12952.062533019094</v>
      </c>
      <c r="O13" s="33"/>
      <c r="P13" s="33"/>
      <c r="R13" s="32"/>
    </row>
    <row r="14" spans="1:18">
      <c r="A14" s="6" t="s">
        <v>34</v>
      </c>
      <c r="B14" s="37">
        <f t="shared" si="0"/>
        <v>16081.073063424799</v>
      </c>
      <c r="C14" s="33"/>
      <c r="D14" s="37">
        <f>IF( ISERROR(IND_chemie_gas_kWh/1000),0,IND_chemie_gas_kWh/1000)*0.902</f>
        <v>0</v>
      </c>
      <c r="E14" s="33">
        <f>C36*'E Balans VL '!I24/100/3.6*1000000</f>
        <v>76.019008692870315</v>
      </c>
      <c r="F14" s="33">
        <f>C36*'E Balans VL '!L24/100/3.6*1000000+C36*'E Balans VL '!N24/100/3.6*1000000</f>
        <v>303.92364920499631</v>
      </c>
      <c r="G14" s="34"/>
      <c r="H14" s="33"/>
      <c r="I14" s="33"/>
      <c r="J14" s="40">
        <f>C36*'E Balans VL '!D24/100/3.6*1000000+C36*'E Balans VL '!E24/100/3.6*1000000</f>
        <v>0</v>
      </c>
      <c r="K14" s="33"/>
      <c r="L14" s="33"/>
      <c r="M14" s="33"/>
      <c r="N14" s="33">
        <f>C36*'E Balans VL '!Y24/100/3.6*1000000</f>
        <v>390.39405120876063</v>
      </c>
      <c r="O14" s="33"/>
      <c r="P14" s="33"/>
      <c r="R14" s="32"/>
    </row>
    <row r="15" spans="1:18">
      <c r="A15" s="6" t="s">
        <v>270</v>
      </c>
      <c r="B15" s="37">
        <f t="shared" si="0"/>
        <v>32228.786747227798</v>
      </c>
      <c r="C15" s="33"/>
      <c r="D15" s="37">
        <f>IF( ISERROR(IND_rest_gas_kWh/1000),0,IND_rest_gas_kWh/1000)*0.902</f>
        <v>9248.9528428197045</v>
      </c>
      <c r="E15" s="33">
        <f>C37*'E Balans VL '!I15/100/3.6*1000000</f>
        <v>1797.9848758427584</v>
      </c>
      <c r="F15" s="33">
        <f>C37*'E Balans VL '!L15/100/3.6*1000000+C37*'E Balans VL '!N15/100/3.6*1000000</f>
        <v>7576.3310383286816</v>
      </c>
      <c r="G15" s="34"/>
      <c r="H15" s="33"/>
      <c r="I15" s="33"/>
      <c r="J15" s="40">
        <f>C37*'E Balans VL '!D15/100/3.6*1000000+C37*'E Balans VL '!E15/100/3.6*1000000</f>
        <v>82.604407179990488</v>
      </c>
      <c r="K15" s="33"/>
      <c r="L15" s="33"/>
      <c r="M15" s="33"/>
      <c r="N15" s="33">
        <f>C37*'E Balans VL '!Y15/100/3.6*1000000</f>
        <v>6325.0001836698875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57595.230776177341</v>
      </c>
      <c r="C18" s="21">
        <f>C5+C16</f>
        <v>0</v>
      </c>
      <c r="D18" s="21">
        <f>MAX((D5+D16),0)</f>
        <v>17455.275362709028</v>
      </c>
      <c r="E18" s="21">
        <f>MAX((E5+E16),0)</f>
        <v>2555.7756567242504</v>
      </c>
      <c r="F18" s="21">
        <f>MAX((F5+F16),0)</f>
        <v>10531.841508597823</v>
      </c>
      <c r="G18" s="21"/>
      <c r="H18" s="21"/>
      <c r="I18" s="21"/>
      <c r="J18" s="21">
        <f>MAX((J5+J16),0)</f>
        <v>86.147934066078179</v>
      </c>
      <c r="K18" s="21"/>
      <c r="L18" s="21">
        <f>MAX((L5+L16),0)</f>
        <v>0</v>
      </c>
      <c r="M18" s="21"/>
      <c r="N18" s="21">
        <f>MAX((N5+N16),0)</f>
        <v>20471.607704005732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0.20883221809506378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12027.739794686197</v>
      </c>
      <c r="C22" s="23">
        <f ca="1">C18*C20</f>
        <v>0</v>
      </c>
      <c r="D22" s="23">
        <f>D18*D20</f>
        <v>3525.9656232672237</v>
      </c>
      <c r="E22" s="23">
        <f>E18*E20</f>
        <v>580.16107407640482</v>
      </c>
      <c r="F22" s="23">
        <f>F18*F20</f>
        <v>2812.0016827956188</v>
      </c>
      <c r="G22" s="23"/>
      <c r="H22" s="23"/>
      <c r="I22" s="23"/>
      <c r="J22" s="23">
        <f>J18*J20</f>
        <v>30.496368659391674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93.439043185086007</v>
      </c>
      <c r="C30" s="39">
        <f>IF(ISERROR(B30*3.6/1000000/'E Balans VL '!Z18*100),0,B30*3.6/1000000/'E Balans VL '!Z18*100)</f>
        <v>9.1941633249440456E-3</v>
      </c>
      <c r="D30" s="239" t="s">
        <v>692</v>
      </c>
    </row>
    <row r="31" spans="1:18">
      <c r="A31" s="6" t="s">
        <v>33</v>
      </c>
      <c r="B31" s="37">
        <f>IF( ISERROR(IND_ander_ele_kWh/1000),0,IND_ander_ele_kWh/1000)</f>
        <v>2155.34430279965</v>
      </c>
      <c r="C31" s="39">
        <f>IF(ISERROR(B31*3.6/1000000/'E Balans VL '!Z19*100),0,B31*3.6/1000000/'E Balans VL '!Z19*100)</f>
        <v>9.386352508571065E-2</v>
      </c>
      <c r="D31" s="239" t="s">
        <v>692</v>
      </c>
    </row>
    <row r="32" spans="1:18">
      <c r="A32" s="173" t="s">
        <v>41</v>
      </c>
      <c r="B32" s="37">
        <f>IF( ISERROR(IND_voed_ele_kWh/1000),0,IND_voed_ele_kWh/1000)</f>
        <v>333.36122147198705</v>
      </c>
      <c r="C32" s="39">
        <f>IF(ISERROR(B32*3.6/1000000/'E Balans VL '!Z20*100),0,B32*3.6/1000000/'E Balans VL '!Z20*100)</f>
        <v>6.325048418249242E-2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643.48603338936709</v>
      </c>
      <c r="C34" s="39">
        <f>IF(ISERROR(B34*3.6/1000000/'E Balans VL '!Z22*100),0,B34*3.6/1000000/'E Balans VL '!Z22*100)</f>
        <v>9.0480597979883962E-2</v>
      </c>
      <c r="D34" s="239" t="s">
        <v>692</v>
      </c>
    </row>
    <row r="35" spans="1:5">
      <c r="A35" s="173" t="s">
        <v>39</v>
      </c>
      <c r="B35" s="37">
        <f>IF( ISERROR(IND_papier_ele_kWh/1000),0,IND_papier_ele_kWh/1000)</f>
        <v>6059.7403646786497</v>
      </c>
      <c r="C35" s="39">
        <f>IF(ISERROR(B35*3.6/1000000/'E Balans VL '!Z22*100),0,B35*3.6/1000000/'E Balans VL '!Z22*100)</f>
        <v>0.85206034528988783</v>
      </c>
      <c r="D35" s="239" t="s">
        <v>692</v>
      </c>
    </row>
    <row r="36" spans="1:5">
      <c r="A36" s="173" t="s">
        <v>34</v>
      </c>
      <c r="B36" s="37">
        <f>IF( ISERROR(IND_chemie_ele_kWh/1000),0,IND_chemie_ele_kWh/1000)</f>
        <v>16081.073063424799</v>
      </c>
      <c r="C36" s="39">
        <f>IF(ISERROR(B36*3.6/1000000/'E Balans VL '!Z24*100),0,B36*3.6/1000000/'E Balans VL '!Z24*100)</f>
        <v>0.46864998771336908</v>
      </c>
      <c r="D36" s="239" t="s">
        <v>692</v>
      </c>
    </row>
    <row r="37" spans="1:5">
      <c r="A37" s="173" t="s">
        <v>270</v>
      </c>
      <c r="B37" s="37">
        <f>IF( ISERROR(IND_rest_ele_kWh/1000),0,IND_rest_ele_kWh/1000)</f>
        <v>32228.786747227798</v>
      </c>
      <c r="C37" s="39">
        <f>IF(ISERROR(B37*3.6/1000000/'E Balans VL '!Z15*100),0,B37*3.6/1000000/'E Balans VL '!Z15*100)</f>
        <v>0.24836238699713692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731.01941103429647</v>
      </c>
      <c r="C5" s="17">
        <f>'Eigen informatie GS &amp; warmtenet'!B60</f>
        <v>0</v>
      </c>
      <c r="D5" s="30">
        <f>IF(ISERROR(SUM(LB_lb_gas_kWh,LB_rest_gas_kWh,onbekend_gas_kWh)/1000),0,SUM(LB_lb_gas_kWh,LB_rest_gas_kWh,onbekend_gas_kWh)/1000)*0.902</f>
        <v>1095.6289590838412</v>
      </c>
      <c r="E5" s="17">
        <f>B17*'E Balans VL '!I25/3.6*1000000/100</f>
        <v>9.2117863235095765</v>
      </c>
      <c r="F5" s="17">
        <f>B17*('E Balans VL '!L25/3.6*1000000+'E Balans VL '!N25/3.6*1000000)/100</f>
        <v>2522.2000993733309</v>
      </c>
      <c r="G5" s="18"/>
      <c r="H5" s="17"/>
      <c r="I5" s="17"/>
      <c r="J5" s="17">
        <f>('E Balans VL '!D25+'E Balans VL '!E25)/3.6*1000000*landbouw!B17/100</f>
        <v>109.93700948417845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731.01941103429647</v>
      </c>
      <c r="C8" s="21">
        <f>C5+C6</f>
        <v>0</v>
      </c>
      <c r="D8" s="21">
        <f>MAX((D5+D6),0)</f>
        <v>1095.6289590838412</v>
      </c>
      <c r="E8" s="21">
        <f>MAX((E5+E6),0)</f>
        <v>9.2117863235095765</v>
      </c>
      <c r="F8" s="21">
        <f>MAX((F5+F6),0)</f>
        <v>2522.2000993733309</v>
      </c>
      <c r="G8" s="21"/>
      <c r="H8" s="21"/>
      <c r="I8" s="21"/>
      <c r="J8" s="21">
        <f>MAX((J5+J6),0)</f>
        <v>109.93700948417845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0.20883221809506378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152.66040507683928</v>
      </c>
      <c r="C12" s="23">
        <f ca="1">C8*C10</f>
        <v>0</v>
      </c>
      <c r="D12" s="23">
        <f>D8*D10</f>
        <v>221.31704973493595</v>
      </c>
      <c r="E12" s="23">
        <f>E8*E10</f>
        <v>2.0910754954366739</v>
      </c>
      <c r="F12" s="23">
        <f>F8*F10</f>
        <v>673.42742653267942</v>
      </c>
      <c r="G12" s="23"/>
      <c r="H12" s="23"/>
      <c r="I12" s="23"/>
      <c r="J12" s="23">
        <f>J8*J10</f>
        <v>38.917701357399167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0.10195416744485819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107.54691445462028</v>
      </c>
      <c r="C26" s="249">
        <f>B26*'GWP N2O_CH4'!B5</f>
        <v>2258.4852035470258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56.601014696952632</v>
      </c>
      <c r="C27" s="249">
        <f>B27*'GWP N2O_CH4'!B5</f>
        <v>1188.6213086360053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3.0322446515086829</v>
      </c>
      <c r="C28" s="249">
        <f>B28*'GWP N2O_CH4'!B4</f>
        <v>939.99584196769172</v>
      </c>
      <c r="D28" s="50"/>
    </row>
    <row r="29" spans="1:4">
      <c r="A29" s="41" t="s">
        <v>277</v>
      </c>
      <c r="B29" s="249">
        <f>B34*'ha_N2O bodem landbouw'!B4</f>
        <v>5.3550051159549614</v>
      </c>
      <c r="C29" s="249">
        <f>B29*'GWP N2O_CH4'!B4</f>
        <v>1660.0515859460381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1.3370912687493959E-3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8.3448427608052982E-6</v>
      </c>
      <c r="C5" s="448" t="s">
        <v>211</v>
      </c>
      <c r="D5" s="433">
        <f>SUM(D6:D11)</f>
        <v>1.3725948959718011E-5</v>
      </c>
      <c r="E5" s="433">
        <f>SUM(E6:E11)</f>
        <v>4.2030477297011243E-4</v>
      </c>
      <c r="F5" s="446" t="s">
        <v>211</v>
      </c>
      <c r="G5" s="433">
        <f>SUM(G6:G11)</f>
        <v>9.4858992706913489E-2</v>
      </c>
      <c r="H5" s="433">
        <f>SUM(H6:H11)</f>
        <v>2.0537214318635606E-2</v>
      </c>
      <c r="I5" s="448" t="s">
        <v>211</v>
      </c>
      <c r="J5" s="448" t="s">
        <v>211</v>
      </c>
      <c r="K5" s="448" t="s">
        <v>211</v>
      </c>
      <c r="L5" s="448" t="s">
        <v>211</v>
      </c>
      <c r="M5" s="433">
        <f>SUM(M6:M11)</f>
        <v>5.2184775520399485E-3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6.6209068318910832E-6</v>
      </c>
      <c r="C6" s="949"/>
      <c r="D6" s="949">
        <f>vkm_2011_GW_PW*SUMIFS(TableVerdeelsleutelVkm[CNG],TableVerdeelsleutelVkm[Voertuigtype],"Lichte voertuigen")*SUMIFS(TableECFTransport[EnergieConsumptieFactor (PJ per km)],TableECFTransport[Index],CONCATENATE($A6,"_CNG_CNG"))</f>
        <v>9.376498994984145E-6</v>
      </c>
      <c r="E6" s="949">
        <f>vkm_2011_GW_PW*SUMIFS(TableVerdeelsleutelVkm[LPG],TableVerdeelsleutelVkm[Voertuigtype],"Lichte voertuigen")*SUMIFS(TableECFTransport[EnergieConsumptieFactor (PJ per km)],TableECFTransport[Index],CONCATENATE($A6,"_LPG_LPG"))</f>
        <v>2.9448496518283239E-4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5.2927011842226097E-2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1.4182218705751143E-2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3.036236022413377E-3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1.5888214272749369E-2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5.6449178217640298E-6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7.1698482739921549E-4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1.7239359289142154E-6</v>
      </c>
      <c r="C8" s="949"/>
      <c r="D8" s="436">
        <f>vkm_2011_NGW_PW*SUMIFS(TableVerdeelsleutelVkm[CNG],TableVerdeelsleutelVkm[Voertuigtype],"Lichte voertuigen")*SUMIFS(TableECFTransport[EnergieConsumptieFactor (PJ per km)],TableECFTransport[Index],CONCATENATE($A8,"_CNG_CNG"))</f>
        <v>4.3494499647338649E-6</v>
      </c>
      <c r="E8" s="436">
        <f>vkm_2011_NGW_PW*SUMIFS(TableVerdeelsleutelVkm[LPG],TableVerdeelsleutelVkm[Voertuigtype],"Lichte voertuigen")*SUMIFS(TableECFTransport[EnergieConsumptieFactor (PJ per km)],TableECFTransport[Index],CONCATENATE($A8,"_LPG_LPG"))</f>
        <v>1.2581980778728007E-4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2.1327677494191906E-2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6.347765111121173E-3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1.2524386427748557E-3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4.7160890977461156E-3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1.585583941525845E-6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2.1281805945250036E-4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2.3180118780014718</v>
      </c>
      <c r="C14" s="21"/>
      <c r="D14" s="21">
        <f t="shared" ref="D14:M14" si="0">((D5)*10^9/3600)+D12</f>
        <v>3.8127635999216696</v>
      </c>
      <c r="E14" s="21">
        <f t="shared" si="0"/>
        <v>116.75132582503123</v>
      </c>
      <c r="F14" s="21"/>
      <c r="G14" s="21">
        <f t="shared" si="0"/>
        <v>26349.720196364859</v>
      </c>
      <c r="H14" s="21">
        <f t="shared" si="0"/>
        <v>5704.7817551765575</v>
      </c>
      <c r="I14" s="21"/>
      <c r="J14" s="21"/>
      <c r="K14" s="21"/>
      <c r="L14" s="21"/>
      <c r="M14" s="21">
        <f t="shared" si="0"/>
        <v>1449.5770977888744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0.20883221809506378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0.48407556205375174</v>
      </c>
      <c r="C18" s="23"/>
      <c r="D18" s="23">
        <f t="shared" ref="D18:M18" si="1">D14*D16</f>
        <v>0.77017824718417727</v>
      </c>
      <c r="E18" s="23">
        <f t="shared" si="1"/>
        <v>26.50255096228209</v>
      </c>
      <c r="F18" s="23"/>
      <c r="G18" s="23">
        <f t="shared" si="1"/>
        <v>7035.3752924294176</v>
      </c>
      <c r="H18" s="23">
        <f t="shared" si="1"/>
        <v>1420.4906570389628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1.5928562558128927E-3</v>
      </c>
      <c r="H50" s="323">
        <f t="shared" si="2"/>
        <v>0</v>
      </c>
      <c r="I50" s="323">
        <f t="shared" si="2"/>
        <v>0</v>
      </c>
      <c r="J50" s="323">
        <f t="shared" si="2"/>
        <v>0</v>
      </c>
      <c r="K50" s="323">
        <f t="shared" si="2"/>
        <v>0</v>
      </c>
      <c r="L50" s="323">
        <f t="shared" si="2"/>
        <v>0</v>
      </c>
      <c r="M50" s="323">
        <f t="shared" si="2"/>
        <v>7.0838213689203853E-5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1.5928562558128927E-3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7.0838213689203853E-5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442.46007105913685</v>
      </c>
      <c r="H54" s="21">
        <f t="shared" si="3"/>
        <v>0</v>
      </c>
      <c r="I54" s="21">
        <f t="shared" si="3"/>
        <v>0</v>
      </c>
      <c r="J54" s="21">
        <f t="shared" si="3"/>
        <v>0</v>
      </c>
      <c r="K54" s="21">
        <f t="shared" si="3"/>
        <v>0</v>
      </c>
      <c r="L54" s="21">
        <f t="shared" si="3"/>
        <v>0</v>
      </c>
      <c r="M54" s="21">
        <f t="shared" si="3"/>
        <v>19.677281580334405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0.20883221809506378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118.13683897278955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4761.8372246171293</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4761.8372246171293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10478.009897805958</v>
      </c>
      <c r="D10" s="704">
        <f ca="1">tertiair!C16</f>
        <v>0</v>
      </c>
      <c r="E10" s="704">
        <f ca="1">tertiair!D16</f>
        <v>10582.651105216173</v>
      </c>
      <c r="F10" s="704">
        <f>tertiair!E16</f>
        <v>113.9030048830225</v>
      </c>
      <c r="G10" s="704">
        <f ca="1">tertiair!F16</f>
        <v>2181.7667453605623</v>
      </c>
      <c r="H10" s="704">
        <f>tertiair!G16</f>
        <v>0</v>
      </c>
      <c r="I10" s="704">
        <f>tertiair!H16</f>
        <v>0</v>
      </c>
      <c r="J10" s="704">
        <f>tertiair!I16</f>
        <v>0</v>
      </c>
      <c r="K10" s="704">
        <f>tertiair!J16</f>
        <v>0</v>
      </c>
      <c r="L10" s="704">
        <f>tertiair!K16</f>
        <v>0</v>
      </c>
      <c r="M10" s="704">
        <f ca="1">tertiair!L16</f>
        <v>0</v>
      </c>
      <c r="N10" s="704">
        <f>tertiair!M16</f>
        <v>0</v>
      </c>
      <c r="O10" s="704">
        <f ca="1">tertiair!N16</f>
        <v>2177.6524795614982</v>
      </c>
      <c r="P10" s="704">
        <f>tertiair!O16</f>
        <v>3.1266666666666669</v>
      </c>
      <c r="Q10" s="705">
        <f>tertiair!P16</f>
        <v>57.2</v>
      </c>
      <c r="R10" s="707">
        <f ca="1">SUM(C10:Q10)</f>
        <v>25594.309899493877</v>
      </c>
      <c r="S10" s="67"/>
    </row>
    <row r="11" spans="1:19" s="459" customFormat="1">
      <c r="A11" s="858" t="s">
        <v>225</v>
      </c>
      <c r="B11" s="863"/>
      <c r="C11" s="704">
        <f>huishoudens!B8</f>
        <v>17681.331931592427</v>
      </c>
      <c r="D11" s="704">
        <f>huishoudens!C8</f>
        <v>0</v>
      </c>
      <c r="E11" s="704">
        <f>huishoudens!D8</f>
        <v>36060.020378124995</v>
      </c>
      <c r="F11" s="704">
        <f>huishoudens!E8</f>
        <v>1141.7371804064981</v>
      </c>
      <c r="G11" s="704">
        <f>huishoudens!F8</f>
        <v>25542.276793292036</v>
      </c>
      <c r="H11" s="704">
        <f>huishoudens!G8</f>
        <v>0</v>
      </c>
      <c r="I11" s="704">
        <f>huishoudens!H8</f>
        <v>0</v>
      </c>
      <c r="J11" s="704">
        <f>huishoudens!I8</f>
        <v>0</v>
      </c>
      <c r="K11" s="704">
        <f>huishoudens!J8</f>
        <v>0</v>
      </c>
      <c r="L11" s="704">
        <f>huishoudens!K8</f>
        <v>0</v>
      </c>
      <c r="M11" s="704">
        <f>huishoudens!L8</f>
        <v>0</v>
      </c>
      <c r="N11" s="704">
        <f>huishoudens!M8</f>
        <v>0</v>
      </c>
      <c r="O11" s="704">
        <f>huishoudens!N8</f>
        <v>17571.71589164975</v>
      </c>
      <c r="P11" s="704">
        <f>huishoudens!O8</f>
        <v>256.38666666666671</v>
      </c>
      <c r="Q11" s="705">
        <f>huishoudens!P8</f>
        <v>686.4</v>
      </c>
      <c r="R11" s="707">
        <f>SUM(C11:Q11)</f>
        <v>98939.868841732372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57595.230776177341</v>
      </c>
      <c r="D13" s="704">
        <f>industrie!C18</f>
        <v>0</v>
      </c>
      <c r="E13" s="704">
        <f>industrie!D18</f>
        <v>17455.275362709028</v>
      </c>
      <c r="F13" s="704">
        <f>industrie!E18</f>
        <v>2555.7756567242504</v>
      </c>
      <c r="G13" s="704">
        <f>industrie!F18</f>
        <v>10531.841508597823</v>
      </c>
      <c r="H13" s="704">
        <f>industrie!G18</f>
        <v>0</v>
      </c>
      <c r="I13" s="704">
        <f>industrie!H18</f>
        <v>0</v>
      </c>
      <c r="J13" s="704">
        <f>industrie!I18</f>
        <v>0</v>
      </c>
      <c r="K13" s="704">
        <f>industrie!J18</f>
        <v>86.147934066078179</v>
      </c>
      <c r="L13" s="704">
        <f>industrie!K18</f>
        <v>0</v>
      </c>
      <c r="M13" s="704">
        <f>industrie!L18</f>
        <v>0</v>
      </c>
      <c r="N13" s="704">
        <f>industrie!M18</f>
        <v>0</v>
      </c>
      <c r="O13" s="704">
        <f>industrie!N18</f>
        <v>20471.607704005732</v>
      </c>
      <c r="P13" s="704">
        <f>industrie!O18</f>
        <v>0</v>
      </c>
      <c r="Q13" s="705">
        <f>industrie!P18</f>
        <v>0</v>
      </c>
      <c r="R13" s="707">
        <f>SUM(C13:Q13)</f>
        <v>108695.87894228024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85754.572605575726</v>
      </c>
      <c r="D15" s="709">
        <f t="shared" ref="D15:Q15" ca="1" si="0">SUM(D9:D14)</f>
        <v>0</v>
      </c>
      <c r="E15" s="709">
        <f t="shared" ca="1" si="0"/>
        <v>64097.946846050196</v>
      </c>
      <c r="F15" s="709">
        <f t="shared" si="0"/>
        <v>3811.415842013771</v>
      </c>
      <c r="G15" s="709">
        <f t="shared" ca="1" si="0"/>
        <v>38255.88504725042</v>
      </c>
      <c r="H15" s="709">
        <f t="shared" si="0"/>
        <v>0</v>
      </c>
      <c r="I15" s="709">
        <f t="shared" si="0"/>
        <v>0</v>
      </c>
      <c r="J15" s="709">
        <f t="shared" si="0"/>
        <v>0</v>
      </c>
      <c r="K15" s="709">
        <f t="shared" si="0"/>
        <v>86.147934066078179</v>
      </c>
      <c r="L15" s="709">
        <f t="shared" si="0"/>
        <v>0</v>
      </c>
      <c r="M15" s="709">
        <f t="shared" ca="1" si="0"/>
        <v>0</v>
      </c>
      <c r="N15" s="709">
        <f t="shared" si="0"/>
        <v>0</v>
      </c>
      <c r="O15" s="709">
        <f t="shared" ca="1" si="0"/>
        <v>40220.976075216982</v>
      </c>
      <c r="P15" s="709">
        <f t="shared" si="0"/>
        <v>259.51333333333338</v>
      </c>
      <c r="Q15" s="710">
        <f t="shared" si="0"/>
        <v>743.6</v>
      </c>
      <c r="R15" s="711">
        <f ca="1">SUM(R9:R14)</f>
        <v>233230.05768350649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442.46007105913685</v>
      </c>
      <c r="I18" s="704">
        <f>transport!H54</f>
        <v>0</v>
      </c>
      <c r="J18" s="704">
        <f>transport!I54</f>
        <v>0</v>
      </c>
      <c r="K18" s="704">
        <f>transport!J54</f>
        <v>0</v>
      </c>
      <c r="L18" s="704">
        <f>transport!K54</f>
        <v>0</v>
      </c>
      <c r="M18" s="704">
        <f>transport!L54</f>
        <v>0</v>
      </c>
      <c r="N18" s="704">
        <f>transport!M54</f>
        <v>19.677281580334405</v>
      </c>
      <c r="O18" s="704">
        <f>transport!N54</f>
        <v>0</v>
      </c>
      <c r="P18" s="704">
        <f>transport!O54</f>
        <v>0</v>
      </c>
      <c r="Q18" s="705">
        <f>transport!P54</f>
        <v>0</v>
      </c>
      <c r="R18" s="707">
        <f>SUM(C18:Q18)</f>
        <v>462.13735263947126</v>
      </c>
      <c r="S18" s="67"/>
    </row>
    <row r="19" spans="1:19" s="459" customFormat="1" ht="15" thickBot="1">
      <c r="A19" s="858" t="s">
        <v>307</v>
      </c>
      <c r="B19" s="863"/>
      <c r="C19" s="713">
        <f>transport!B14</f>
        <v>2.3180118780014718</v>
      </c>
      <c r="D19" s="713">
        <f>transport!C14</f>
        <v>0</v>
      </c>
      <c r="E19" s="713">
        <f>transport!D14</f>
        <v>3.8127635999216696</v>
      </c>
      <c r="F19" s="713">
        <f>transport!E14</f>
        <v>116.75132582503123</v>
      </c>
      <c r="G19" s="713">
        <f>transport!F14</f>
        <v>0</v>
      </c>
      <c r="H19" s="713">
        <f>transport!G14</f>
        <v>26349.720196364859</v>
      </c>
      <c r="I19" s="713">
        <f>transport!H14</f>
        <v>5704.7817551765575</v>
      </c>
      <c r="J19" s="713">
        <f>transport!I14</f>
        <v>0</v>
      </c>
      <c r="K19" s="713">
        <f>transport!J14</f>
        <v>0</v>
      </c>
      <c r="L19" s="713">
        <f>transport!K14</f>
        <v>0</v>
      </c>
      <c r="M19" s="713">
        <f>transport!L14</f>
        <v>0</v>
      </c>
      <c r="N19" s="713">
        <f>transport!M14</f>
        <v>1449.5770977888744</v>
      </c>
      <c r="O19" s="713">
        <f>transport!N14</f>
        <v>0</v>
      </c>
      <c r="P19" s="713">
        <f>transport!O14</f>
        <v>0</v>
      </c>
      <c r="Q19" s="714">
        <f>transport!P14</f>
        <v>0</v>
      </c>
      <c r="R19" s="715">
        <f>SUM(C19:Q19)</f>
        <v>33626.961150633244</v>
      </c>
      <c r="S19" s="67"/>
    </row>
    <row r="20" spans="1:19" s="459" customFormat="1" ht="15.75" thickBot="1">
      <c r="A20" s="716" t="s">
        <v>230</v>
      </c>
      <c r="B20" s="866"/>
      <c r="C20" s="861">
        <f>SUM(C17:C19)</f>
        <v>2.3180118780014718</v>
      </c>
      <c r="D20" s="717">
        <f t="shared" ref="D20:R20" si="1">SUM(D17:D19)</f>
        <v>0</v>
      </c>
      <c r="E20" s="717">
        <f t="shared" si="1"/>
        <v>3.8127635999216696</v>
      </c>
      <c r="F20" s="717">
        <f t="shared" si="1"/>
        <v>116.75132582503123</v>
      </c>
      <c r="G20" s="717">
        <f t="shared" si="1"/>
        <v>0</v>
      </c>
      <c r="H20" s="717">
        <f t="shared" si="1"/>
        <v>26792.180267423995</v>
      </c>
      <c r="I20" s="717">
        <f t="shared" si="1"/>
        <v>5704.7817551765575</v>
      </c>
      <c r="J20" s="717">
        <f t="shared" si="1"/>
        <v>0</v>
      </c>
      <c r="K20" s="717">
        <f t="shared" si="1"/>
        <v>0</v>
      </c>
      <c r="L20" s="717">
        <f t="shared" si="1"/>
        <v>0</v>
      </c>
      <c r="M20" s="717">
        <f t="shared" si="1"/>
        <v>0</v>
      </c>
      <c r="N20" s="717">
        <f t="shared" si="1"/>
        <v>1469.2543793692089</v>
      </c>
      <c r="O20" s="717">
        <f t="shared" si="1"/>
        <v>0</v>
      </c>
      <c r="P20" s="717">
        <f t="shared" si="1"/>
        <v>0</v>
      </c>
      <c r="Q20" s="718">
        <f t="shared" si="1"/>
        <v>0</v>
      </c>
      <c r="R20" s="719">
        <f t="shared" si="1"/>
        <v>34089.098503272719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731.01941103429647</v>
      </c>
      <c r="D22" s="713">
        <f>+landbouw!C8</f>
        <v>0</v>
      </c>
      <c r="E22" s="713">
        <f>+landbouw!D8</f>
        <v>1095.6289590838412</v>
      </c>
      <c r="F22" s="713">
        <f>+landbouw!E8</f>
        <v>9.2117863235095765</v>
      </c>
      <c r="G22" s="713">
        <f>+landbouw!F8</f>
        <v>2522.2000993733309</v>
      </c>
      <c r="H22" s="713">
        <f>+landbouw!G8</f>
        <v>0</v>
      </c>
      <c r="I22" s="713">
        <f>+landbouw!H8</f>
        <v>0</v>
      </c>
      <c r="J22" s="713">
        <f>+landbouw!I8</f>
        <v>0</v>
      </c>
      <c r="K22" s="713">
        <f>+landbouw!J8</f>
        <v>109.93700948417845</v>
      </c>
      <c r="L22" s="713">
        <f>+landbouw!K8</f>
        <v>0</v>
      </c>
      <c r="M22" s="713">
        <f>+landbouw!L8</f>
        <v>0</v>
      </c>
      <c r="N22" s="713">
        <f>+landbouw!M8</f>
        <v>0</v>
      </c>
      <c r="O22" s="713">
        <f>+landbouw!N8</f>
        <v>0</v>
      </c>
      <c r="P22" s="713">
        <f>+landbouw!O8</f>
        <v>0</v>
      </c>
      <c r="Q22" s="714">
        <f>+landbouw!P8</f>
        <v>0</v>
      </c>
      <c r="R22" s="715">
        <f>SUM(C22:Q22)</f>
        <v>4467.9972652991573</v>
      </c>
      <c r="S22" s="67"/>
    </row>
    <row r="23" spans="1:19" s="459" customFormat="1" ht="17.25" thickTop="1" thickBot="1">
      <c r="A23" s="720" t="s">
        <v>116</v>
      </c>
      <c r="B23" s="852"/>
      <c r="C23" s="721">
        <f ca="1">C20+C15+C22</f>
        <v>86487.910028488026</v>
      </c>
      <c r="D23" s="721">
        <f t="shared" ref="D23:Q23" ca="1" si="2">D20+D15+D22</f>
        <v>0</v>
      </c>
      <c r="E23" s="721">
        <f t="shared" ca="1" si="2"/>
        <v>65197.388568733957</v>
      </c>
      <c r="F23" s="721">
        <f t="shared" si="2"/>
        <v>3937.3789541623114</v>
      </c>
      <c r="G23" s="721">
        <f t="shared" ca="1" si="2"/>
        <v>40778.085146623751</v>
      </c>
      <c r="H23" s="721">
        <f t="shared" si="2"/>
        <v>26792.180267423995</v>
      </c>
      <c r="I23" s="721">
        <f t="shared" si="2"/>
        <v>5704.7817551765575</v>
      </c>
      <c r="J23" s="721">
        <f t="shared" si="2"/>
        <v>0</v>
      </c>
      <c r="K23" s="721">
        <f t="shared" si="2"/>
        <v>196.08494355025664</v>
      </c>
      <c r="L23" s="721">
        <f t="shared" si="2"/>
        <v>0</v>
      </c>
      <c r="M23" s="721">
        <f t="shared" ca="1" si="2"/>
        <v>0</v>
      </c>
      <c r="N23" s="721">
        <f t="shared" si="2"/>
        <v>1469.2543793692089</v>
      </c>
      <c r="O23" s="721">
        <f t="shared" ca="1" si="2"/>
        <v>40220.976075216982</v>
      </c>
      <c r="P23" s="721">
        <f t="shared" si="2"/>
        <v>259.51333333333338</v>
      </c>
      <c r="Q23" s="722">
        <f t="shared" si="2"/>
        <v>743.6</v>
      </c>
      <c r="R23" s="723">
        <f ca="1">R20+R15+R22</f>
        <v>271787.15345207835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2188.1460481808508</v>
      </c>
      <c r="D36" s="704">
        <f ca="1">tertiair!C20</f>
        <v>0</v>
      </c>
      <c r="E36" s="704">
        <f ca="1">tertiair!D20</f>
        <v>2137.695523253667</v>
      </c>
      <c r="F36" s="704">
        <f>tertiair!E20</f>
        <v>25.85598210844611</v>
      </c>
      <c r="G36" s="704">
        <f ca="1">tertiair!F20</f>
        <v>582.53172101127018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4934.2292745542336</v>
      </c>
    </row>
    <row r="37" spans="1:18">
      <c r="A37" s="873" t="s">
        <v>225</v>
      </c>
      <c r="B37" s="880"/>
      <c r="C37" s="704">
        <f ca="1">huishoudens!B12</f>
        <v>3692.4317661495252</v>
      </c>
      <c r="D37" s="704">
        <f ca="1">huishoudens!C12</f>
        <v>0</v>
      </c>
      <c r="E37" s="704">
        <f>huishoudens!D12</f>
        <v>7284.1241163812492</v>
      </c>
      <c r="F37" s="704">
        <f>huishoudens!E12</f>
        <v>259.17433995227509</v>
      </c>
      <c r="G37" s="704">
        <f>huishoudens!F12</f>
        <v>6819.7879038089741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18055.518126292023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12027.739794686197</v>
      </c>
      <c r="D39" s="704">
        <f ca="1">industrie!C22</f>
        <v>0</v>
      </c>
      <c r="E39" s="704">
        <f>industrie!D22</f>
        <v>3525.9656232672237</v>
      </c>
      <c r="F39" s="704">
        <f>industrie!E22</f>
        <v>580.16107407640482</v>
      </c>
      <c r="G39" s="704">
        <f>industrie!F22</f>
        <v>2812.0016827956188</v>
      </c>
      <c r="H39" s="704">
        <f>industrie!G22</f>
        <v>0</v>
      </c>
      <c r="I39" s="704">
        <f>industrie!H22</f>
        <v>0</v>
      </c>
      <c r="J39" s="704">
        <f>industrie!I22</f>
        <v>0</v>
      </c>
      <c r="K39" s="704">
        <f>industrie!J22</f>
        <v>30.496368659391674</v>
      </c>
      <c r="L39" s="704">
        <f>industrie!K22</f>
        <v>0</v>
      </c>
      <c r="M39" s="704">
        <f>industrie!L22</f>
        <v>0</v>
      </c>
      <c r="N39" s="704">
        <f>industrie!M22</f>
        <v>0</v>
      </c>
      <c r="O39" s="704">
        <f>industrie!N22</f>
        <v>0</v>
      </c>
      <c r="P39" s="704">
        <f>industrie!O22</f>
        <v>0</v>
      </c>
      <c r="Q39" s="814">
        <f>industrie!P22</f>
        <v>0</v>
      </c>
      <c r="R39" s="906">
        <f ca="1">SUM(C39:Q39)</f>
        <v>18976.364543484837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17908.317609016573</v>
      </c>
      <c r="D41" s="749">
        <f t="shared" ref="D41:R41" ca="1" si="4">SUM(D35:D40)</f>
        <v>0</v>
      </c>
      <c r="E41" s="749">
        <f t="shared" ca="1" si="4"/>
        <v>12947.78526290214</v>
      </c>
      <c r="F41" s="749">
        <f t="shared" si="4"/>
        <v>865.19139613712605</v>
      </c>
      <c r="G41" s="749">
        <f t="shared" ca="1" si="4"/>
        <v>10214.321307615863</v>
      </c>
      <c r="H41" s="749">
        <f t="shared" si="4"/>
        <v>0</v>
      </c>
      <c r="I41" s="749">
        <f t="shared" si="4"/>
        <v>0</v>
      </c>
      <c r="J41" s="749">
        <f t="shared" si="4"/>
        <v>0</v>
      </c>
      <c r="K41" s="749">
        <f t="shared" si="4"/>
        <v>30.496368659391674</v>
      </c>
      <c r="L41" s="749">
        <f t="shared" si="4"/>
        <v>0</v>
      </c>
      <c r="M41" s="749">
        <f t="shared" ca="1" si="4"/>
        <v>0</v>
      </c>
      <c r="N41" s="749">
        <f t="shared" si="4"/>
        <v>0</v>
      </c>
      <c r="O41" s="749">
        <f t="shared" ca="1" si="4"/>
        <v>0</v>
      </c>
      <c r="P41" s="749">
        <f t="shared" si="4"/>
        <v>0</v>
      </c>
      <c r="Q41" s="750">
        <f t="shared" si="4"/>
        <v>0</v>
      </c>
      <c r="R41" s="751">
        <f t="shared" ca="1" si="4"/>
        <v>41966.111944331089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118.13683897278955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118.13683897278955</v>
      </c>
    </row>
    <row r="45" spans="1:18" ht="15" thickBot="1">
      <c r="A45" s="876" t="s">
        <v>307</v>
      </c>
      <c r="B45" s="886"/>
      <c r="C45" s="713">
        <f ca="1">transport!B18</f>
        <v>0.48407556205375174</v>
      </c>
      <c r="D45" s="713">
        <f>transport!C18</f>
        <v>0</v>
      </c>
      <c r="E45" s="713">
        <f>transport!D18</f>
        <v>0.77017824718417727</v>
      </c>
      <c r="F45" s="713">
        <f>transport!E18</f>
        <v>26.50255096228209</v>
      </c>
      <c r="G45" s="713">
        <f>transport!F18</f>
        <v>0</v>
      </c>
      <c r="H45" s="713">
        <f>transport!G18</f>
        <v>7035.3752924294176</v>
      </c>
      <c r="I45" s="713">
        <f>transport!H18</f>
        <v>1420.4906570389628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8483.622754239901</v>
      </c>
    </row>
    <row r="46" spans="1:18" ht="15.75" thickBot="1">
      <c r="A46" s="874" t="s">
        <v>230</v>
      </c>
      <c r="B46" s="887"/>
      <c r="C46" s="749">
        <f t="shared" ref="C46:R46" ca="1" si="5">SUM(C43:C45)</f>
        <v>0.48407556205375174</v>
      </c>
      <c r="D46" s="749">
        <f t="shared" ca="1" si="5"/>
        <v>0</v>
      </c>
      <c r="E46" s="749">
        <f t="shared" si="5"/>
        <v>0.77017824718417727</v>
      </c>
      <c r="F46" s="749">
        <f t="shared" si="5"/>
        <v>26.50255096228209</v>
      </c>
      <c r="G46" s="749">
        <f t="shared" si="5"/>
        <v>0</v>
      </c>
      <c r="H46" s="749">
        <f t="shared" si="5"/>
        <v>7153.5121314022072</v>
      </c>
      <c r="I46" s="749">
        <f t="shared" si="5"/>
        <v>1420.4906570389628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8601.7595932126915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152.66040507683928</v>
      </c>
      <c r="D48" s="704">
        <f ca="1">+landbouw!C12</f>
        <v>0</v>
      </c>
      <c r="E48" s="704">
        <f>+landbouw!D12</f>
        <v>221.31704973493595</v>
      </c>
      <c r="F48" s="704">
        <f>+landbouw!E12</f>
        <v>2.0910754954366739</v>
      </c>
      <c r="G48" s="704">
        <f>+landbouw!F12</f>
        <v>673.42742653267942</v>
      </c>
      <c r="H48" s="704">
        <f>+landbouw!G12</f>
        <v>0</v>
      </c>
      <c r="I48" s="704">
        <f>+landbouw!H12</f>
        <v>0</v>
      </c>
      <c r="J48" s="704">
        <f>+landbouw!I12</f>
        <v>0</v>
      </c>
      <c r="K48" s="704">
        <f>+landbouw!J12</f>
        <v>38.917701357399167</v>
      </c>
      <c r="L48" s="704">
        <f>+landbouw!K12</f>
        <v>0</v>
      </c>
      <c r="M48" s="704">
        <f>+landbouw!L12</f>
        <v>0</v>
      </c>
      <c r="N48" s="704">
        <f>+landbouw!M12</f>
        <v>0</v>
      </c>
      <c r="O48" s="704">
        <f>+landbouw!N12</f>
        <v>0</v>
      </c>
      <c r="P48" s="704">
        <f>+landbouw!O12</f>
        <v>0</v>
      </c>
      <c r="Q48" s="705">
        <f>+landbouw!P12</f>
        <v>0</v>
      </c>
      <c r="R48" s="747">
        <f ca="1">SUM(C48:Q48)</f>
        <v>1088.4136581972905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18061.462089655466</v>
      </c>
      <c r="D53" s="759">
        <f t="shared" ref="D53:Q53" ca="1" si="6">D41+D46+D48</f>
        <v>0</v>
      </c>
      <c r="E53" s="759">
        <f t="shared" ca="1" si="6"/>
        <v>13169.872490884261</v>
      </c>
      <c r="F53" s="759">
        <f t="shared" si="6"/>
        <v>893.7850225948448</v>
      </c>
      <c r="G53" s="759">
        <f t="shared" ca="1" si="6"/>
        <v>10887.748734148543</v>
      </c>
      <c r="H53" s="759">
        <f t="shared" si="6"/>
        <v>7153.5121314022072</v>
      </c>
      <c r="I53" s="759">
        <f t="shared" si="6"/>
        <v>1420.4906570389628</v>
      </c>
      <c r="J53" s="759">
        <f t="shared" si="6"/>
        <v>0</v>
      </c>
      <c r="K53" s="759">
        <f t="shared" si="6"/>
        <v>69.414070016790845</v>
      </c>
      <c r="L53" s="759">
        <f t="shared" si="6"/>
        <v>0</v>
      </c>
      <c r="M53" s="759">
        <f t="shared" ca="1" si="6"/>
        <v>0</v>
      </c>
      <c r="N53" s="759">
        <f t="shared" si="6"/>
        <v>0</v>
      </c>
      <c r="O53" s="759">
        <f t="shared" ca="1" si="6"/>
        <v>0</v>
      </c>
      <c r="P53" s="759">
        <f>P41+P46+P48</f>
        <v>0</v>
      </c>
      <c r="Q53" s="760">
        <f t="shared" si="6"/>
        <v>0</v>
      </c>
      <c r="R53" s="761">
        <f ca="1">R41+R46+R48</f>
        <v>51656.285195741075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0.20883221809506378</v>
      </c>
      <c r="D55" s="824">
        <f t="shared" ca="1" si="7"/>
        <v>0</v>
      </c>
      <c r="E55" s="824">
        <f t="shared" ca="1" si="7"/>
        <v>0.20200000000000004</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4761.8372246171293</v>
      </c>
      <c r="C66" s="781">
        <f>'lokale energieproductie'!B6</f>
        <v>4761.8372246171293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4761.8372246171293</v>
      </c>
      <c r="C69" s="789">
        <f>SUM(C64:C68)</f>
        <v>4761.8372246171293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17681.331931592427</v>
      </c>
      <c r="C4" s="463">
        <f>huishoudens!C8</f>
        <v>0</v>
      </c>
      <c r="D4" s="463">
        <f>huishoudens!D8</f>
        <v>36060.020378124995</v>
      </c>
      <c r="E4" s="463">
        <f>huishoudens!E8</f>
        <v>1141.7371804064981</v>
      </c>
      <c r="F4" s="463">
        <f>huishoudens!F8</f>
        <v>25542.276793292036</v>
      </c>
      <c r="G4" s="463">
        <f>huishoudens!G8</f>
        <v>0</v>
      </c>
      <c r="H4" s="463">
        <f>huishoudens!H8</f>
        <v>0</v>
      </c>
      <c r="I4" s="463">
        <f>huishoudens!I8</f>
        <v>0</v>
      </c>
      <c r="J4" s="463">
        <f>huishoudens!J8</f>
        <v>0</v>
      </c>
      <c r="K4" s="463">
        <f>huishoudens!K8</f>
        <v>0</v>
      </c>
      <c r="L4" s="463">
        <f>huishoudens!L8</f>
        <v>0</v>
      </c>
      <c r="M4" s="463">
        <f>huishoudens!M8</f>
        <v>0</v>
      </c>
      <c r="N4" s="463">
        <f>huishoudens!N8</f>
        <v>17571.71589164975</v>
      </c>
      <c r="O4" s="463">
        <f>huishoudens!O8</f>
        <v>256.38666666666671</v>
      </c>
      <c r="P4" s="464">
        <f>huishoudens!P8</f>
        <v>686.4</v>
      </c>
      <c r="Q4" s="465">
        <f>SUM(B4:P4)</f>
        <v>98939.868841732372</v>
      </c>
    </row>
    <row r="5" spans="1:17">
      <c r="A5" s="462" t="s">
        <v>156</v>
      </c>
      <c r="B5" s="463">
        <f ca="1">tertiair!B16</f>
        <v>9982.5828978059581</v>
      </c>
      <c r="C5" s="463">
        <f ca="1">tertiair!C16</f>
        <v>0</v>
      </c>
      <c r="D5" s="463">
        <f ca="1">tertiair!D16</f>
        <v>10582.651105216173</v>
      </c>
      <c r="E5" s="463">
        <f>tertiair!E16</f>
        <v>113.9030048830225</v>
      </c>
      <c r="F5" s="463">
        <f ca="1">tertiair!F16</f>
        <v>2181.7667453605623</v>
      </c>
      <c r="G5" s="463">
        <f>tertiair!G16</f>
        <v>0</v>
      </c>
      <c r="H5" s="463">
        <f>tertiair!H16</f>
        <v>0</v>
      </c>
      <c r="I5" s="463">
        <f>tertiair!I16</f>
        <v>0</v>
      </c>
      <c r="J5" s="463">
        <f>tertiair!J16</f>
        <v>0</v>
      </c>
      <c r="K5" s="463">
        <f>tertiair!K16</f>
        <v>0</v>
      </c>
      <c r="L5" s="463">
        <f ca="1">tertiair!L16</f>
        <v>0</v>
      </c>
      <c r="M5" s="463">
        <f>tertiair!M16</f>
        <v>0</v>
      </c>
      <c r="N5" s="463">
        <f ca="1">tertiair!N16</f>
        <v>2177.6524795614982</v>
      </c>
      <c r="O5" s="463">
        <f>tertiair!O16</f>
        <v>3.1266666666666669</v>
      </c>
      <c r="P5" s="464">
        <f>tertiair!P16</f>
        <v>57.2</v>
      </c>
      <c r="Q5" s="462">
        <f t="shared" ref="Q5:Q13" ca="1" si="0">SUM(B5:P5)</f>
        <v>25098.882899493878</v>
      </c>
    </row>
    <row r="6" spans="1:17">
      <c r="A6" s="462" t="s">
        <v>194</v>
      </c>
      <c r="B6" s="463">
        <f>'openbare verlichting'!B8</f>
        <v>495.42700000000002</v>
      </c>
      <c r="C6" s="463"/>
      <c r="D6" s="463"/>
      <c r="E6" s="463"/>
      <c r="F6" s="463"/>
      <c r="G6" s="463"/>
      <c r="H6" s="463"/>
      <c r="I6" s="463"/>
      <c r="J6" s="463"/>
      <c r="K6" s="463"/>
      <c r="L6" s="463"/>
      <c r="M6" s="463"/>
      <c r="N6" s="463"/>
      <c r="O6" s="463"/>
      <c r="P6" s="464"/>
      <c r="Q6" s="462">
        <f t="shared" si="0"/>
        <v>495.42700000000002</v>
      </c>
    </row>
    <row r="7" spans="1:17">
      <c r="A7" s="462" t="s">
        <v>112</v>
      </c>
      <c r="B7" s="463">
        <f>landbouw!B8</f>
        <v>731.01941103429647</v>
      </c>
      <c r="C7" s="463">
        <f>landbouw!C8</f>
        <v>0</v>
      </c>
      <c r="D7" s="463">
        <f>landbouw!D8</f>
        <v>1095.6289590838412</v>
      </c>
      <c r="E7" s="463">
        <f>landbouw!E8</f>
        <v>9.2117863235095765</v>
      </c>
      <c r="F7" s="463">
        <f>landbouw!F8</f>
        <v>2522.2000993733309</v>
      </c>
      <c r="G7" s="463">
        <f>landbouw!G8</f>
        <v>0</v>
      </c>
      <c r="H7" s="463">
        <f>landbouw!H8</f>
        <v>0</v>
      </c>
      <c r="I7" s="463">
        <f>landbouw!I8</f>
        <v>0</v>
      </c>
      <c r="J7" s="463">
        <f>landbouw!J8</f>
        <v>109.93700948417845</v>
      </c>
      <c r="K7" s="463">
        <f>landbouw!K8</f>
        <v>0</v>
      </c>
      <c r="L7" s="463">
        <f>landbouw!L8</f>
        <v>0</v>
      </c>
      <c r="M7" s="463">
        <f>landbouw!M8</f>
        <v>0</v>
      </c>
      <c r="N7" s="463">
        <f>landbouw!N8</f>
        <v>0</v>
      </c>
      <c r="O7" s="463">
        <f>landbouw!O8</f>
        <v>0</v>
      </c>
      <c r="P7" s="464">
        <f>landbouw!P8</f>
        <v>0</v>
      </c>
      <c r="Q7" s="462">
        <f t="shared" si="0"/>
        <v>4467.9972652991573</v>
      </c>
    </row>
    <row r="8" spans="1:17">
      <c r="A8" s="462" t="s">
        <v>657</v>
      </c>
      <c r="B8" s="463">
        <f>industrie!B18</f>
        <v>57595.230776177341</v>
      </c>
      <c r="C8" s="463">
        <f>industrie!C18</f>
        <v>0</v>
      </c>
      <c r="D8" s="463">
        <f>industrie!D18</f>
        <v>17455.275362709028</v>
      </c>
      <c r="E8" s="463">
        <f>industrie!E18</f>
        <v>2555.7756567242504</v>
      </c>
      <c r="F8" s="463">
        <f>industrie!F18</f>
        <v>10531.841508597823</v>
      </c>
      <c r="G8" s="463">
        <f>industrie!G18</f>
        <v>0</v>
      </c>
      <c r="H8" s="463">
        <f>industrie!H18</f>
        <v>0</v>
      </c>
      <c r="I8" s="463">
        <f>industrie!I18</f>
        <v>0</v>
      </c>
      <c r="J8" s="463">
        <f>industrie!J18</f>
        <v>86.147934066078179</v>
      </c>
      <c r="K8" s="463">
        <f>industrie!K18</f>
        <v>0</v>
      </c>
      <c r="L8" s="463">
        <f>industrie!L18</f>
        <v>0</v>
      </c>
      <c r="M8" s="463">
        <f>industrie!M18</f>
        <v>0</v>
      </c>
      <c r="N8" s="463">
        <f>industrie!N18</f>
        <v>20471.607704005732</v>
      </c>
      <c r="O8" s="463">
        <f>industrie!O18</f>
        <v>0</v>
      </c>
      <c r="P8" s="464">
        <f>industrie!P18</f>
        <v>0</v>
      </c>
      <c r="Q8" s="462">
        <f t="shared" si="0"/>
        <v>108695.87894228024</v>
      </c>
    </row>
    <row r="9" spans="1:17" s="468" customFormat="1">
      <c r="A9" s="466" t="s">
        <v>574</v>
      </c>
      <c r="B9" s="467">
        <f>transport!B14</f>
        <v>2.3180118780014718</v>
      </c>
      <c r="C9" s="467"/>
      <c r="D9" s="467">
        <f>transport!D14</f>
        <v>3.8127635999216696</v>
      </c>
      <c r="E9" s="467">
        <f>transport!E14</f>
        <v>116.75132582503123</v>
      </c>
      <c r="F9" s="467"/>
      <c r="G9" s="467">
        <f>transport!G14</f>
        <v>26349.720196364859</v>
      </c>
      <c r="H9" s="467">
        <f>transport!H14</f>
        <v>5704.7817551765575</v>
      </c>
      <c r="I9" s="467"/>
      <c r="J9" s="467"/>
      <c r="K9" s="467"/>
      <c r="L9" s="467"/>
      <c r="M9" s="467">
        <f>transport!M14</f>
        <v>1449.5770977888744</v>
      </c>
      <c r="N9" s="467"/>
      <c r="O9" s="467"/>
      <c r="P9" s="467"/>
      <c r="Q9" s="466">
        <f>SUM(B9:P9)</f>
        <v>33626.961150633244</v>
      </c>
    </row>
    <row r="10" spans="1:17">
      <c r="A10" s="462" t="s">
        <v>564</v>
      </c>
      <c r="B10" s="463">
        <f>transport!B54</f>
        <v>0</v>
      </c>
      <c r="C10" s="463"/>
      <c r="D10" s="463">
        <f>transport!D54</f>
        <v>0</v>
      </c>
      <c r="E10" s="463"/>
      <c r="F10" s="463"/>
      <c r="G10" s="463">
        <f>transport!G54</f>
        <v>442.46007105913685</v>
      </c>
      <c r="H10" s="463"/>
      <c r="I10" s="463"/>
      <c r="J10" s="463"/>
      <c r="K10" s="463"/>
      <c r="L10" s="463"/>
      <c r="M10" s="463">
        <f>transport!M54</f>
        <v>19.677281580334405</v>
      </c>
      <c r="N10" s="463"/>
      <c r="O10" s="463"/>
      <c r="P10" s="464"/>
      <c r="Q10" s="462">
        <f t="shared" si="0"/>
        <v>462.13735263947126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86487.910028488026</v>
      </c>
      <c r="C14" s="473">
        <f t="shared" ref="C14:Q14" ca="1" si="1">SUM(C4:C13)</f>
        <v>0</v>
      </c>
      <c r="D14" s="473">
        <f t="shared" ca="1" si="1"/>
        <v>65197.388568733957</v>
      </c>
      <c r="E14" s="473">
        <f t="shared" si="1"/>
        <v>3937.3789541623119</v>
      </c>
      <c r="F14" s="473">
        <f t="shared" ca="1" si="1"/>
        <v>40778.085146623751</v>
      </c>
      <c r="G14" s="473">
        <f t="shared" si="1"/>
        <v>26792.180267423995</v>
      </c>
      <c r="H14" s="473">
        <f t="shared" si="1"/>
        <v>5704.7817551765575</v>
      </c>
      <c r="I14" s="473">
        <f t="shared" si="1"/>
        <v>0</v>
      </c>
      <c r="J14" s="473">
        <f t="shared" si="1"/>
        <v>196.08494355025664</v>
      </c>
      <c r="K14" s="473">
        <f t="shared" si="1"/>
        <v>0</v>
      </c>
      <c r="L14" s="473">
        <f t="shared" ca="1" si="1"/>
        <v>0</v>
      </c>
      <c r="M14" s="473">
        <f t="shared" si="1"/>
        <v>1469.2543793692089</v>
      </c>
      <c r="N14" s="473">
        <f t="shared" ca="1" si="1"/>
        <v>40220.976075216982</v>
      </c>
      <c r="O14" s="473">
        <f t="shared" si="1"/>
        <v>259.51333333333338</v>
      </c>
      <c r="P14" s="474">
        <f t="shared" si="1"/>
        <v>743.6</v>
      </c>
      <c r="Q14" s="474">
        <f t="shared" ca="1" si="1"/>
        <v>271787.15345207835</v>
      </c>
    </row>
    <row r="16" spans="1:17">
      <c r="A16" s="476" t="s">
        <v>569</v>
      </c>
      <c r="B16" s="829">
        <f ca="1">huishoudens!B10</f>
        <v>0.20883221809506378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3692.4317661495252</v>
      </c>
      <c r="C21" s="463">
        <f t="shared" ref="C21:C28" ca="1" si="3">C4*$C$16</f>
        <v>0</v>
      </c>
      <c r="D21" s="463">
        <f t="shared" ref="D21:D30" si="4">D4*$D$16</f>
        <v>7284.1241163812492</v>
      </c>
      <c r="E21" s="463">
        <f t="shared" ref="E21:E30" si="5">E4*$E$16</f>
        <v>259.17433995227509</v>
      </c>
      <c r="F21" s="463">
        <f t="shared" ref="F21:F28" si="6">F4*$F$16</f>
        <v>6819.7879038089741</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18055.518126292023</v>
      </c>
    </row>
    <row r="22" spans="1:17">
      <c r="A22" s="462" t="s">
        <v>156</v>
      </c>
      <c r="B22" s="463">
        <f t="shared" ca="1" si="2"/>
        <v>2084.6849288666676</v>
      </c>
      <c r="C22" s="463">
        <f t="shared" ca="1" si="3"/>
        <v>0</v>
      </c>
      <c r="D22" s="463">
        <f t="shared" ca="1" si="4"/>
        <v>2137.695523253667</v>
      </c>
      <c r="E22" s="463">
        <f t="shared" si="5"/>
        <v>25.85598210844611</v>
      </c>
      <c r="F22" s="463">
        <f t="shared" ca="1" si="6"/>
        <v>582.53172101127018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4830.7681552400509</v>
      </c>
    </row>
    <row r="23" spans="1:17">
      <c r="A23" s="462" t="s">
        <v>194</v>
      </c>
      <c r="B23" s="463">
        <f t="shared" ca="1" si="2"/>
        <v>103.46111931418316</v>
      </c>
      <c r="C23" s="463"/>
      <c r="D23" s="463"/>
      <c r="E23" s="463"/>
      <c r="F23" s="463"/>
      <c r="G23" s="463"/>
      <c r="H23" s="463"/>
      <c r="I23" s="463"/>
      <c r="J23" s="463"/>
      <c r="K23" s="463"/>
      <c r="L23" s="463"/>
      <c r="M23" s="463"/>
      <c r="N23" s="463"/>
      <c r="O23" s="463"/>
      <c r="P23" s="464"/>
      <c r="Q23" s="462">
        <f t="shared" ca="1" si="17"/>
        <v>103.46111931418316</v>
      </c>
    </row>
    <row r="24" spans="1:17">
      <c r="A24" s="462" t="s">
        <v>112</v>
      </c>
      <c r="B24" s="463">
        <f t="shared" ca="1" si="2"/>
        <v>152.66040507683928</v>
      </c>
      <c r="C24" s="463">
        <f t="shared" ca="1" si="3"/>
        <v>0</v>
      </c>
      <c r="D24" s="463">
        <f t="shared" si="4"/>
        <v>221.31704973493595</v>
      </c>
      <c r="E24" s="463">
        <f t="shared" si="5"/>
        <v>2.0910754954366739</v>
      </c>
      <c r="F24" s="463">
        <f t="shared" si="6"/>
        <v>673.42742653267942</v>
      </c>
      <c r="G24" s="463">
        <f t="shared" si="7"/>
        <v>0</v>
      </c>
      <c r="H24" s="463">
        <f t="shared" si="8"/>
        <v>0</v>
      </c>
      <c r="I24" s="463">
        <f t="shared" si="9"/>
        <v>0</v>
      </c>
      <c r="J24" s="463">
        <f t="shared" si="10"/>
        <v>38.917701357399167</v>
      </c>
      <c r="K24" s="463">
        <f t="shared" si="11"/>
        <v>0</v>
      </c>
      <c r="L24" s="463">
        <f t="shared" si="12"/>
        <v>0</v>
      </c>
      <c r="M24" s="463">
        <f t="shared" si="13"/>
        <v>0</v>
      </c>
      <c r="N24" s="463">
        <f t="shared" si="14"/>
        <v>0</v>
      </c>
      <c r="O24" s="463">
        <f t="shared" si="15"/>
        <v>0</v>
      </c>
      <c r="P24" s="464">
        <f t="shared" si="16"/>
        <v>0</v>
      </c>
      <c r="Q24" s="462">
        <f t="shared" ca="1" si="17"/>
        <v>1088.4136581972905</v>
      </c>
    </row>
    <row r="25" spans="1:17">
      <c r="A25" s="462" t="s">
        <v>657</v>
      </c>
      <c r="B25" s="463">
        <f t="shared" ca="1" si="2"/>
        <v>12027.739794686197</v>
      </c>
      <c r="C25" s="463">
        <f t="shared" ca="1" si="3"/>
        <v>0</v>
      </c>
      <c r="D25" s="463">
        <f t="shared" si="4"/>
        <v>3525.9656232672237</v>
      </c>
      <c r="E25" s="463">
        <f t="shared" si="5"/>
        <v>580.16107407640482</v>
      </c>
      <c r="F25" s="463">
        <f t="shared" si="6"/>
        <v>2812.0016827956188</v>
      </c>
      <c r="G25" s="463">
        <f t="shared" si="7"/>
        <v>0</v>
      </c>
      <c r="H25" s="463">
        <f t="shared" si="8"/>
        <v>0</v>
      </c>
      <c r="I25" s="463">
        <f t="shared" si="9"/>
        <v>0</v>
      </c>
      <c r="J25" s="463">
        <f t="shared" si="10"/>
        <v>30.496368659391674</v>
      </c>
      <c r="K25" s="463">
        <f t="shared" si="11"/>
        <v>0</v>
      </c>
      <c r="L25" s="463">
        <f t="shared" si="12"/>
        <v>0</v>
      </c>
      <c r="M25" s="463">
        <f t="shared" si="13"/>
        <v>0</v>
      </c>
      <c r="N25" s="463">
        <f t="shared" si="14"/>
        <v>0</v>
      </c>
      <c r="O25" s="463">
        <f t="shared" si="15"/>
        <v>0</v>
      </c>
      <c r="P25" s="464">
        <f t="shared" si="16"/>
        <v>0</v>
      </c>
      <c r="Q25" s="462">
        <f t="shared" ca="1" si="17"/>
        <v>18976.364543484837</v>
      </c>
    </row>
    <row r="26" spans="1:17" s="468" customFormat="1">
      <c r="A26" s="466" t="s">
        <v>574</v>
      </c>
      <c r="B26" s="823">
        <f t="shared" ca="1" si="2"/>
        <v>0.48407556205375174</v>
      </c>
      <c r="C26" s="467"/>
      <c r="D26" s="467">
        <f t="shared" si="4"/>
        <v>0.77017824718417727</v>
      </c>
      <c r="E26" s="467">
        <f t="shared" si="5"/>
        <v>26.50255096228209</v>
      </c>
      <c r="F26" s="467"/>
      <c r="G26" s="467">
        <f t="shared" si="7"/>
        <v>7035.3752924294176</v>
      </c>
      <c r="H26" s="467">
        <f t="shared" si="8"/>
        <v>1420.4906570389628</v>
      </c>
      <c r="I26" s="467"/>
      <c r="J26" s="467"/>
      <c r="K26" s="467"/>
      <c r="L26" s="467"/>
      <c r="M26" s="467">
        <f t="shared" si="13"/>
        <v>0</v>
      </c>
      <c r="N26" s="467"/>
      <c r="O26" s="467"/>
      <c r="P26" s="478"/>
      <c r="Q26" s="466">
        <f t="shared" ca="1" si="17"/>
        <v>8483.622754239901</v>
      </c>
    </row>
    <row r="27" spans="1:17">
      <c r="A27" s="462" t="s">
        <v>564</v>
      </c>
      <c r="B27" s="463">
        <f t="shared" ca="1" si="2"/>
        <v>0</v>
      </c>
      <c r="C27" s="463"/>
      <c r="D27" s="467">
        <f t="shared" si="4"/>
        <v>0</v>
      </c>
      <c r="E27" s="463"/>
      <c r="F27" s="463"/>
      <c r="G27" s="463">
        <f t="shared" si="7"/>
        <v>118.13683897278955</v>
      </c>
      <c r="H27" s="463"/>
      <c r="I27" s="463"/>
      <c r="J27" s="463"/>
      <c r="K27" s="463"/>
      <c r="L27" s="463"/>
      <c r="M27" s="463">
        <f t="shared" si="13"/>
        <v>0</v>
      </c>
      <c r="N27" s="463"/>
      <c r="O27" s="463"/>
      <c r="P27" s="464"/>
      <c r="Q27" s="462">
        <f t="shared" ca="1" si="17"/>
        <v>118.13683897278955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18061.462089655466</v>
      </c>
      <c r="C31" s="473">
        <f t="shared" ca="1" si="18"/>
        <v>0</v>
      </c>
      <c r="D31" s="473">
        <f t="shared" ca="1" si="18"/>
        <v>13169.872490884261</v>
      </c>
      <c r="E31" s="473">
        <f t="shared" si="18"/>
        <v>893.78502259484469</v>
      </c>
      <c r="F31" s="473">
        <f t="shared" ca="1" si="18"/>
        <v>10887.748734148543</v>
      </c>
      <c r="G31" s="473">
        <f t="shared" si="18"/>
        <v>7153.5121314022072</v>
      </c>
      <c r="H31" s="473">
        <f t="shared" si="18"/>
        <v>1420.4906570389628</v>
      </c>
      <c r="I31" s="473">
        <f t="shared" si="18"/>
        <v>0</v>
      </c>
      <c r="J31" s="473">
        <f t="shared" si="18"/>
        <v>69.414070016790845</v>
      </c>
      <c r="K31" s="473">
        <f t="shared" si="18"/>
        <v>0</v>
      </c>
      <c r="L31" s="473">
        <f t="shared" ca="1" si="18"/>
        <v>0</v>
      </c>
      <c r="M31" s="473">
        <f t="shared" si="18"/>
        <v>0</v>
      </c>
      <c r="N31" s="473">
        <f t="shared" ca="1" si="18"/>
        <v>0</v>
      </c>
      <c r="O31" s="473">
        <f t="shared" si="18"/>
        <v>0</v>
      </c>
      <c r="P31" s="474">
        <f t="shared" si="18"/>
        <v>0</v>
      </c>
      <c r="Q31" s="474">
        <f t="shared" ca="1" si="18"/>
        <v>51656.285195741068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0.20883221809506378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2</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38.133333333333333</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0.20883221809506378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0.20883221809506378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2019-01-02T18:02:20Z</dcterms:modified>
</cp:coreProperties>
</file>