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<sst xmlns="http://schemas.openxmlformats.org/spreadsheetml/2006/main" count="2151" uniqueCount="878">
  <si>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</si>
  <si>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</si>
  <si>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</si>
  <si>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</si>
  <si>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</si>
  <si>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</si>
  <si>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</si>
  <si>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</si>
  <si>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</si>
  <si>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</si>
  <si>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</si>
  <si>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</si>
  <si>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</si>
  <si>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</si>
  <si>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</si>
  <si>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</si>
  <si>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</si>
  <si>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</si>
  <si>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</si>
  <si>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</si>
  <si>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</si>
  <si>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</si>
  <si>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</si>
  <si>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</si>
  <si>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</si>
  <si>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</si>
  <si>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</si>
  <si>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</si>
  <si>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</si>
  <si>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</si>
  <si>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</si>
  <si>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</si>
  <si>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</si>
  <si>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</si>
  <si>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</si>
  <si>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</si>
  <si>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</si>
  <si>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</si>
  <si>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</si>
  <si>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</si>
  <si>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</si>
  <si>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</si>
  <si>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</si>
  <si>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</si>
  <si>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</si>
  <si>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</si>
  <si>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</si>
  <si>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</si>
  <si>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</si>
  <si>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</si>
  <si>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</si>
  <si>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</si>
  <si>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</si>
  <si>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</si>
  <si>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</si>
  <si>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</si>
  <si>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</si>
  <si>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</si>
  <si>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</si>
  <si>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</si>
  <si>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</si>
  <si>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</si>
  <si>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</si>
  <si>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</si>
  <si>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</si>
  <si>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</si>
  <si>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</si>
  <si>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</si>
  <si>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</si>
  <si>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</si>
  <si>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</si>
  <si>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</si>
  <si>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</si>
  <si>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</si>
  <si>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</si>
  <si>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</si>
  <si>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</si>
  <si>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</si>
  <si>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</si>
  <si>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</si>
  <si>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</si>
  <si>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</si>
  <si>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</si>
  <si>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</si>
  <si>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</si>
  <si>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</si>
  <si>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</si>
  <si>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</si>
  <si>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</si>
  <si>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</si>
  <si>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</si>
  <si>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</si>
  <si>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</si>
  <si>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</si>
  <si>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</si>
  <si>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</si>
  <si>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</si>
  <si>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</si>
  <si>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</si>
  <si>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</si>
  <si>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</si>
  <si>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</si>
  <si>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</si>
  <si>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</si>
  <si>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</si>
  <si>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</si>
  <si>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</si>
  <si>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</si>
  <si>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</si>
  <si>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</si>
  <si>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</si>
  <si>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</si>
  <si>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</si>
  <si>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</si>
  <si>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</si>
  <si>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</si>
  <si>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</si>
  <si>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</si>
  <si>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</si>
  <si>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</si>
  <si>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</si>
  <si>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</si>
  <si>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</si>
  <si>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</si>
  <si>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</si>
  <si>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</si>
  <si>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</si>
  <si>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</si>
  <si>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</si>
  <si>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</si>
  <si>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</si>
  <si>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</si>
  <si>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</si>
  <si>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</si>
  <si>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</si>
  <si>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</si>
  <si>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</si>
  <si>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</si>
  <si>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</si>
  <si>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</si>
  <si>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</si>
  <si>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</si>
  <si>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</si>
  <si>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</si>
  <si>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</si>
  <si>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</si>
  <si>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</si>
  <si>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</si>
  <si>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</si>
  <si>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</si>
  <si>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</si>
  <si>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</si>
  <si>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</si>
  <si>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</si>
  <si>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</si>
  <si>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</si>
  <si>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</si>
  <si>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</si>
  <si>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</si>
  <si>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</si>
  <si>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</si>
  <si>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</si>
  <si>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</si>
  <si>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</si>
  <si>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</si>
  <si>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</si>
  <si>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</si>
  <si>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</si>
  <si>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</si>
  <si>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</si>
  <si>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</si>
  <si>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</si>
  <si>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</si>
  <si>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</si>
  <si>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</si>
  <si>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</si>
  <si>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</si>
  <si>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</si>
  <si>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</si>
  <si>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</si>
  <si>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</si>
  <si>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</si>
  <si>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</si>
  <si>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</si>
  <si>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</si>
  <si>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</si>
  <si>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</si>
  <si>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</si>
  <si>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</si>
  <si>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</si>
  <si>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</si>
  <si>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</si>
  <si>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</si>
  <si>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</si>
  <si>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</si>
  <si>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</si>
  <si>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</si>
  <si>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</si>
  <si>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</si>
  <si>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</si>
  <si>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</si>
  <si>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</si>
  <si>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</si>
  <si>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</si>
  <si>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</si>
  <si>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</si>
  <si>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</si>
  <si>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</si>
  <si>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</si>
  <si>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</si>
  <si>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</si>
  <si>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</si>
  <si>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</si>
  <si>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</si>
  <si>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</si>
  <si>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</si>
  <si>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</si>
  <si>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</si>
  <si>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</si>
  <si>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</si>
  <si>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</si>
  <si>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</si>
  <si>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</si>
  <si>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</si>
  <si>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</si>
  <si>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</si>
  <si>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</si>
  <si>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</si>
  <si>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</si>
  <si>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</si>
  <si>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</si>
  <si>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</si>
  <si>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</si>
  <si>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</si>
  <si>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</si>
  <si>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</si>
  <si>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</si>
  <si>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</si>
  <si>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</si>
  <si>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</si>
  <si>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</si>
  <si>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</si>
  <si>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</si>
  <si>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</si>
  <si>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</si>
  <si>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</si>
  <si>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</si>
  <si>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</si>
  <si>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</si>
  <si>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</si>
  <si>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</si>
  <si>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</si>
  <si>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</si>
  <si>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</si>
  <si>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</si>
  <si>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</si>
  <si>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</si>
  <si>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</si>
  <si>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</si>
  <si>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</si>
  <si>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</si>
  <si>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</si>
  <si>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</si>
  <si>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</si>
  <si>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</si>
  <si>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</si>
  <si>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</si>
  <si>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</si>
  <si>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</si>
  <si>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</si>
  <si>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</si>
  <si>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</si>
  <si>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</si>
  <si>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</si>
  <si>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</si>
  <si>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</si>
  <si>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</si>
  <si>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</si>
  <si>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</si>
  <si>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</si>
  <si>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</si>
  <si>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</si>
  <si>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</si>
  <si>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</si>
  <si>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</si>
  <si>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</si>
  <si>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</si>
  <si>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</si>
  <si>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</si>
  <si>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</si>
  <si>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</si>
  <si>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</si>
  <si>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</si>
  <si>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</si>
  <si>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</si>
  <si>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</si>
  <si>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</si>
  <si>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</si>
  <si>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</si>
  <si>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</si>
  <si>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</si>
  <si>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</si>
  <si>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</si>
  <si>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</si>
  <si>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</si>
  <si>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</si>
  <si>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</si>
  <si>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</si>
  <si>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</si>
  <si>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</si>
  <si>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</si>
  <si>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</si>
  <si>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</si>
  <si>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</si>
  <si>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</si>
  <si>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</si>
  <si>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</si>
  <si>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</si>
  <si>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</si>
  <si>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</si>
  <si>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</si>
  <si>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</si>
  <si>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</si>
  <si>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</si>
  <si>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</si>
  <si>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</si>
  <si>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</si>
  <si>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</si>
  <si>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</si>
  <si>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</si>
  <si>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</si>
  <si>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</si>
  <si>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</si>
  <si>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</si>
  <si>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</si>
  <si>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</si>
  <si>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</si>
  <si>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</si>
  <si>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</si>
  <si>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</si>
  <si>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</si>
  <si>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</si>
  <si>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</si>
  <si>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</si>
  <si>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</si>
  <si>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</si>
  <si>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</si>
  <si>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</si>
  <si>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</si>
  <si>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</si>
  <si>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</si>
  <si>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</si>
  <si>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</si>
  <si>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</si>
  <si>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</si>
  <si>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</si>
  <si>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</si>
  <si>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</si>
  <si>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</si>
  <si>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</si>
  <si>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</si>
  <si>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</si>
  <si>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</si>
  <si>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</si>
  <si>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</si>
  <si>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</si>
  <si>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</si>
  <si>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</si>
  <si>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</si>
  <si>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</si>
  <si>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</si>
  <si>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</si>
  <si>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</si>
  <si>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</si>
  <si>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</si>
  <si>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</si>
  <si>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</si>
  <si>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</si>
  <si>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</si>
  <si>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</si>
  <si>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</si>
  <si>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</si>
  <si>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</si>
  <si>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</si>
  <si>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</si>
  <si>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</si>
  <si>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</si>
  <si>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</si>
  <si>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</si>
  <si>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</si>
  <si>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</si>
  <si>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</si>
  <si>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</si>
  <si>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</si>
  <si>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</si>
  <si>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</si>
  <si>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</si>
  <si>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</si>
  <si>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</si>
  <si>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</si>
  <si>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</si>
  <si>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</si>
  <si>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</si>
  <si>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</si>
  <si>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</si>
  <si>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</si>
  <si>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</si>
  <si>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</si>
  <si>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</si>
  <si>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</si>
  <si>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</si>
  <si>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</si>
  <si>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</si>
  <si>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</si>
  <si>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</si>
  <si>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</si>
  <si>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</si>
  <si>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</si>
  <si>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</si>
  <si>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</si>
  <si>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</si>
  <si>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</si>
  <si>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</si>
  <si>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</si>
  <si>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</si>
  <si>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</si>
  <si>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</si>
  <si>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</si>
  <si>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</si>
  <si>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</si>
  <si>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</si>
  <si>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</si>
  <si>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</si>
  <si>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</si>
  <si>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</si>
  <si>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</si>
  <si>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</si>
  <si>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</si>
  <si>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</si>
  <si>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</si>
  <si>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</si>
  <si>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</si>
  <si>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</si>
  <si>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</si>
  <si>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</si>
  <si>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</si>
  <si>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</si>
  <si>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</si>
  <si>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</si>
  <si>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</si>
  <si>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</si>
  <si>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</si>
  <si>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</si>
  <si>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</si>
  <si>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</si>
  <si>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</si>
  <si>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</si>
  <si>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</si>
  <si>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</si>
  <si>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</si>
  <si>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</si>
  <si>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</si>
  <si>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</si>
  <si>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</si>
  <si>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</si>
  <si>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</si>
  <si>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</si>
  <si>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</si>
  <si>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</si>
  <si>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</si>
  <si>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</si>
  <si>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</si>
  <si>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</si>
  <si>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</si>
  <si>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</si>
  <si>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</si>
  <si>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</si>
  <si>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</si>
  <si>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</si>
  <si>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</si>
  <si>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</si>
  <si>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</si>
  <si>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</si>
  <si>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</si>
  <si>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</si>
  <si>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</si>
  <si>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</si>
  <si>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</si>
  <si>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</si>
  <si>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</si>
  <si>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</si>
  <si>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</si>
  <si>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</si>
  <si>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</si>
  <si>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</si>
  <si>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</si>
  <si>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</si>
  <si>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</si>
  <si>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</si>
  <si>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</si>
  <si>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</si>
  <si>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</si>
  <si>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</si>
  <si>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</si>
  <si>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</si>
  <si>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</si>
  <si>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</si>
  <si>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</si>
  <si>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</si>
  <si>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</si>
  <si>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</si>
  <si>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</si>
  <si>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</si>
  <si>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</si>
  <si>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</si>
  <si>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</si>
  <si>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</si>
  <si>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</si>
  <si>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</si>
  <si>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</si>
  <si>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</si>
  <si>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</si>
  <si>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</si>
  <si>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</si>
  <si>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</si>
  <si>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</si>
  <si>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</si>
  <si>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</si>
  <si>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</si>
  <si>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</si>
  <si>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</si>
  <si>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</si>
  <si>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</si>
  <si>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</si>
  <si>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</si>
  <si>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</si>
  <si>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</si>
  <si>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</si>
  <si>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</si>
  <si>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</si>
  <si>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</si>
  <si>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</si>
  <si>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</si>
  <si>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</si>
  <si>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</si>
  <si>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</si>
  <si>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</si>
  <si>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</si>
  <si>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</si>
  <si>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</si>
  <si>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</si>
  <si>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</si>
  <si>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</si>
  <si>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</si>
  <si>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</si>
  <si>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</si>
  <si>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</si>
  <si>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</si>
  <si>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</si>
  <si>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</si>
  <si>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</si>
  <si>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</si>
  <si>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</si>
  <si>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</si>
  <si>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</si>
  <si>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</si>
  <si>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</si>
  <si>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</si>
  <si>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</si>
  <si>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</si>
  <si>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</si>
  <si>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</si>
  <si>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</si>
  <si>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</si>
  <si>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</si>
  <si>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</si>
  <si>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</si>
  <si>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</si>
  <si>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</si>
  <si>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</si>
  <si>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</si>
  <si>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</si>
  <si>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</si>
  <si>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</si>
  <si>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</si>
  <si>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</si>
  <si>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</si>
  <si>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</si>
  <si>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</si>
  <si>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</si>
  <si>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</si>
  <si>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</si>
  <si>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</si>
  <si>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</si>
  <si>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</si>
  <si>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</si>
  <si>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</si>
  <si>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</si>
  <si>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</si>
  <si>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</si>
  <si>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</si>
  <si>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</si>
  <si>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</si>
  <si>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</si>
  <si>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</si>
  <si>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</si>
  <si>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</si>
  <si>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</si>
  <si>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</si>
  <si>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</si>
  <si>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</si>
  <si>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</si>
  <si>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</si>
  <si>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</si>
  <si>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</si>
  <si>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</si>
  <si>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</si>
  <si>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</si>
  <si>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</si>
  <si>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</si>
  <si>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</si>
  <si>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</si>
  <si>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</si>
  <si>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</si>
  <si>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</si>
  <si>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</si>
  <si>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</si>
  <si>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</si>
  <si>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</si>
  <si>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</si>
  <si>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</si>
  <si>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</si>
  <si>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</si>
  <si>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</si>
  <si>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</si>
  <si>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</si>
  <si>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</si>
  <si>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</si>
  <si>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</si>
  <si>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</si>
  <si>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</si>
  <si>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</si>
  <si>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</si>
  <si>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</si>
  <si>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</si>
  <si>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</si>
  <si>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</si>
  <si>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</si>
  <si>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</si>
  <si>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</si>
  <si>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</si>
  <si>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</si>
  <si>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</si>
  <si>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</si>
  <si>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</si>
  <si>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</si>
  <si>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</si>
  <si>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</si>
  <si>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</si>
  <si>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</si>
  <si>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</si>
  <si>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</si>
  <si>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</si>
  <si>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</si>
  <si>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</si>
  <si>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</si>
  <si>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</si>
  <si>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</si>
  <si>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</si>
  <si>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</si>
  <si>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</si>
  <si>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</si>
  <si>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</si>
  <si>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</si>
  <si>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</si>
  <si>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</si>
  <si>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</si>
  <si>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</si>
  <si>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</si>
  <si>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</si>
  <si>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</si>
  <si>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</si>
  <si>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</si>
  <si>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</si>
  <si>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</si>
  <si>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</si>
  <si>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</si>
  <si>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</si>
  <si>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</si>
  <si>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</si>
  <si>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</si>
  <si>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</si>
  <si>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</si>
  <si>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</si>
  <si>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</si>
  <si>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</si>
  <si>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</si>
  <si>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</si>
  <si>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</si>
  <si>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</si>
  <si>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</si>
  <si>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</si>
  <si>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</si>
  <si>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</si>
  <si>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</si>
  <si>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</si>
  <si>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</si>
  <si>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</si>
  <si>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</si>
  <si>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</si>
  <si>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</si>
  <si>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</si>
  <si>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</si>
  <si>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</si>
  <si>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</si>
  <si>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</si>
  <si>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</si>
  <si>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</si>
  <si>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</si>
  <si>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</si>
  <si>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</si>
  <si>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</si>
  <si>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</si>
  <si>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</si>
  <si>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</si>
  <si>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</si>
  <si>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</si>
  <si>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</si>
  <si>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</si>
  <si>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</si>
  <si>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</si>
  <si>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</si>
  <si>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</si>
  <si>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</si>
  <si>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</si>
  <si>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</si>
  <si>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</si>
  <si>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</si>
  <si>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</si>
  <si>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</si>
  <si>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</si>
  <si>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</si>
  <si>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</si>
  <si>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</si>
  <si>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</si>
  <si>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</si>
  <si>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</si>
  <si>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</si>
  <si>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</si>
  <si>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</si>
  <si>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</si>
  <si>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</si>
  <si>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</si>
  <si>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</si>
  <si>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</si>
  <si>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</si>
  <si>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</si>
  <si>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</si>
  <si>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</si>
  <si>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</si>
  <si>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</si>
  <si>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</si>
  <si>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</si>
  <si>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</si>
  <si>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</si>
  <si>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</si>
  <si>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</si>
  <si>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</si>
  <si>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</si>
  <si>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</si>
  <si>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</si>
  <si>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</si>
  <si>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</si>
  <si>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</si>
  <si>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</si>
  <si>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</si>
  <si>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</si>
  <si>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</si>
  <si>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</si>
  <si>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</si>
  <si>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</si>
  <si>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</si>
  <si>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</si>
  <si>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</si>
  <si>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</si>
  <si>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</si>
  <si>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</si>
  <si>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</si>
  <si>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</si>
  <si>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</si>
  <si>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</si>
  <si>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</si>
  <si>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</si>
  <si>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</si>
  <si>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</si>
  <si>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</si>
  <si>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</si>
  <si>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</si>
  <si>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</si>
  <si>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</si>
  <si>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</si>
  <si>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</si>
  <si>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</si>
  <si>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</si>
  <si>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</si>
  <si>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</si>
  <si>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</si>
  <si>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</si>
  <si>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</si>
  <si>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</si>
  <si>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</si>
  <si>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</si>
  <si>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</si>
  <si>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</si>
  <si>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</si>
  <si>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</si>
  <si>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</si>
  <si>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</si>
  <si>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</si>
  <si>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</si>
  <si>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</si>
  <si>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</si>
  <si>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</si>
  <si>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</si>
  <si>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</si>
  <si>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</si>
  <si>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</si>
  <si>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</si>
  <si>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</si>
  <si>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</si>
  <si>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</si>
  <si>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</si>
  <si>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</si>
  <si>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</si>
  <si>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</si>
  <si>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</si>
  <si>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</si>
  <si>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</si>
  <si>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</si>
  <si>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</si>
  <si>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</si>
  <si>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</si>
  <si>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</si>
  <si>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</si>
  <si>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</si>
  <si>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</si>
  <si>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</si>
  <si>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</si>
  <si>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</si>
  <si>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</si>
  <si>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</si>
  <si>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</si>
  <si>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</si>
  <si>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</si>
  <si>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</si>
  <si>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</si>
  <si>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</si>
  <si>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</si>
  <si>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</si>
  <si>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</si>
  <si>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</si>
  <si>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</si>
  <si>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</si>
  <si>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</si>
  <si>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</si>
  <si>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</si>
  <si>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</si>
  <si>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</si>
  <si>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</si>
  <si>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</si>
  <si>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</si>
  <si>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13002</t>
  </si>
  <si>
    <t>BAARLE-HERTOG</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</si>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</sst>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28039.228131096643</c:v>
                </c:pt>
                <c:pt idx="1">
                  <c:v>4110.0705884848494</c:v>
                </c:pt>
                <c:pt idx="2">
                  <c:v>174.45099999999999</c:v>
                </c:pt>
                <c:pt idx="3">
                  <c:v>5783.8664072501269</c:v>
                </c:pt>
                <c:pt idx="4">
                  <c:v>531.42965658521803</c:v>
                </c:pt>
                <c:pt idx="5">
                  <c:v>6337.5277047669415</c:v>
                </c:pt>
                <c:pt idx="6">
                  <c:v>94.549021625124865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28039.228131096643</c:v>
                </c:pt>
                <c:pt idx="1">
                  <c:v>4110.0705884848494</c:v>
                </c:pt>
                <c:pt idx="2">
                  <c:v>174.45099999999999</c:v>
                </c:pt>
                <c:pt idx="3">
                  <c:v>5783.8664072501269</c:v>
                </c:pt>
                <c:pt idx="4">
                  <c:v>531.42965658521803</c:v>
                </c:pt>
                <c:pt idx="5">
                  <c:v>6337.5277047669415</c:v>
                </c:pt>
                <c:pt idx="6">
                  <c:v>94.549021625124865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5646.1362643775374</c:v>
                </c:pt>
                <c:pt idx="1">
                  <c:v>863.73557913186687</c:v>
                </c:pt>
                <c:pt idx="2">
                  <c:v>35.977110958719507</c:v>
                </c:pt>
                <c:pt idx="3">
                  <c:v>1415.456893576993</c:v>
                </c:pt>
                <c:pt idx="4">
                  <c:v>101.77239966976823</c:v>
                </c:pt>
                <c:pt idx="5">
                  <c:v>1602.5312749276413</c:v>
                </c:pt>
                <c:pt idx="6">
                  <c:v>24.169702965940616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5646.1362643775374</c:v>
                </c:pt>
                <c:pt idx="1">
                  <c:v>863.73557913186687</c:v>
                </c:pt>
                <c:pt idx="2">
                  <c:v>35.977110958719507</c:v>
                </c:pt>
                <c:pt idx="3">
                  <c:v>1415.456893576993</c:v>
                </c:pt>
                <c:pt idx="4">
                  <c:v>101.77239966976823</c:v>
                </c:pt>
                <c:pt idx="5">
                  <c:v>1602.5312749276413</c:v>
                </c:pt>
                <c:pt idx="6">
                  <c:v>24.169702965940616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13002</v>
      </c>
      <c r="B6" s="398"/>
      <c r="C6" s="399"/>
    </row>
    <row r="7" spans="1:7" s="396" customFormat="1" ht="15.75" customHeight="1">
      <c r="A7" s="400" t="str">
        <f>txtMunicipality</f>
        <v>BAARLE-HERTOG</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1062</v>
      </c>
      <c r="C9" s="338">
        <v>1027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476</v>
      </c>
    </row>
    <row r="15" spans="1:6">
      <c r="A15" s="1269" t="s">
        <v>184</v>
      </c>
      <c r="B15" s="335">
        <v>290</v>
      </c>
    </row>
    <row r="16" spans="1:6">
      <c r="A16" s="1269" t="s">
        <v>6</v>
      </c>
      <c r="B16" s="335">
        <v>663</v>
      </c>
    </row>
    <row r="17" spans="1:6">
      <c r="A17" s="1269" t="s">
        <v>7</v>
      </c>
      <c r="B17" s="335">
        <v>28</v>
      </c>
    </row>
    <row r="18" spans="1:6">
      <c r="A18" s="1269" t="s">
        <v>8</v>
      </c>
      <c r="B18" s="335">
        <v>414</v>
      </c>
    </row>
    <row r="19" spans="1:6">
      <c r="A19" s="1269" t="s">
        <v>9</v>
      </c>
      <c r="B19" s="335">
        <v>385</v>
      </c>
    </row>
    <row r="20" spans="1:6">
      <c r="A20" s="1269" t="s">
        <v>10</v>
      </c>
      <c r="B20" s="335">
        <v>167</v>
      </c>
    </row>
    <row r="21" spans="1:6">
      <c r="A21" s="1269" t="s">
        <v>11</v>
      </c>
      <c r="B21" s="335">
        <v>1928</v>
      </c>
    </row>
    <row r="22" spans="1:6">
      <c r="A22" s="1269" t="s">
        <v>12</v>
      </c>
      <c r="B22" s="335">
        <v>9955</v>
      </c>
    </row>
    <row r="23" spans="1:6">
      <c r="A23" s="1269" t="s">
        <v>13</v>
      </c>
      <c r="B23" s="335">
        <v>92</v>
      </c>
    </row>
    <row r="24" spans="1:6">
      <c r="A24" s="1269" t="s">
        <v>14</v>
      </c>
      <c r="B24" s="335">
        <v>7</v>
      </c>
    </row>
    <row r="25" spans="1:6">
      <c r="A25" s="1269" t="s">
        <v>15</v>
      </c>
      <c r="B25" s="335">
        <v>536</v>
      </c>
    </row>
    <row r="26" spans="1:6">
      <c r="A26" s="1269" t="s">
        <v>16</v>
      </c>
      <c r="B26" s="335">
        <v>0</v>
      </c>
    </row>
    <row r="27" spans="1:6">
      <c r="A27" s="1269" t="s">
        <v>17</v>
      </c>
      <c r="B27" s="335">
        <v>0</v>
      </c>
    </row>
    <row r="28" spans="1:6" s="341" customFormat="1">
      <c r="A28" s="1270" t="s">
        <v>18</v>
      </c>
      <c r="B28" s="1270">
        <v>84304</v>
      </c>
    </row>
    <row r="29" spans="1:6">
      <c r="A29" s="1270" t="s">
        <v>874</v>
      </c>
      <c r="B29" s="1270">
        <v>8</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4627.6752422899999</v>
      </c>
    </row>
    <row r="39" spans="1:6">
      <c r="A39" s="1269" t="s">
        <v>30</v>
      </c>
      <c r="B39" s="1269" t="s">
        <v>31</v>
      </c>
      <c r="C39" s="335">
        <v>1099</v>
      </c>
      <c r="D39" s="335">
        <v>25459075.648631729</v>
      </c>
      <c r="E39" s="335">
        <v>1056</v>
      </c>
      <c r="F39" s="335">
        <v>4528175.5910978401</v>
      </c>
    </row>
    <row r="40" spans="1:6">
      <c r="A40" s="1269" t="s">
        <v>30</v>
      </c>
      <c r="B40" s="1269" t="s">
        <v>29</v>
      </c>
      <c r="C40" s="335">
        <v>0</v>
      </c>
      <c r="D40" s="335">
        <v>0</v>
      </c>
      <c r="E40" s="335">
        <v>0</v>
      </c>
      <c r="F40" s="335">
        <v>0</v>
      </c>
    </row>
    <row r="41" spans="1:6">
      <c r="A41" s="1269" t="s">
        <v>32</v>
      </c>
      <c r="B41" s="1269" t="s">
        <v>33</v>
      </c>
      <c r="C41" s="335">
        <v>0</v>
      </c>
      <c r="D41" s="335">
        <v>0</v>
      </c>
      <c r="E41" s="335">
        <v>13</v>
      </c>
      <c r="F41" s="335">
        <v>59746.767137349103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0</v>
      </c>
      <c r="D48" s="335">
        <v>0</v>
      </c>
      <c r="E48" s="335">
        <v>14</v>
      </c>
      <c r="F48" s="335">
        <v>265967.08963791898</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46</v>
      </c>
      <c r="F51" s="335">
        <v>909982.41341661999</v>
      </c>
    </row>
    <row r="52" spans="1:6">
      <c r="A52" s="1269" t="s">
        <v>42</v>
      </c>
      <c r="B52" s="1269" t="s">
        <v>29</v>
      </c>
      <c r="C52" s="335">
        <v>6</v>
      </c>
      <c r="D52" s="335">
        <v>1350602.3457327799</v>
      </c>
      <c r="E52" s="335">
        <v>4</v>
      </c>
      <c r="F52" s="335">
        <v>71918.652778308402</v>
      </c>
    </row>
    <row r="53" spans="1:6">
      <c r="A53" s="1269" t="s">
        <v>44</v>
      </c>
      <c r="B53" s="1269" t="s">
        <v>45</v>
      </c>
      <c r="C53" s="335">
        <v>2</v>
      </c>
      <c r="D53" s="335">
        <v>39775.375874201003</v>
      </c>
      <c r="E53" s="335">
        <v>45</v>
      </c>
      <c r="F53" s="335">
        <v>354654.17996407201</v>
      </c>
    </row>
    <row r="54" spans="1:6">
      <c r="A54" s="1269" t="s">
        <v>46</v>
      </c>
      <c r="B54" s="1269" t="s">
        <v>47</v>
      </c>
      <c r="C54" s="335">
        <v>0</v>
      </c>
      <c r="D54" s="335">
        <v>0</v>
      </c>
      <c r="E54" s="335">
        <v>1</v>
      </c>
      <c r="F54" s="335">
        <v>174451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0</v>
      </c>
      <c r="D57" s="335">
        <v>0</v>
      </c>
      <c r="E57" s="335">
        <v>8</v>
      </c>
      <c r="F57" s="335">
        <v>47792.558563166</v>
      </c>
    </row>
    <row r="58" spans="1:6">
      <c r="A58" s="1269" t="s">
        <v>49</v>
      </c>
      <c r="B58" s="1269" t="s">
        <v>51</v>
      </c>
      <c r="C58" s="335">
        <v>0</v>
      </c>
      <c r="D58" s="335">
        <v>0</v>
      </c>
      <c r="E58" s="335">
        <v>0</v>
      </c>
      <c r="F58" s="335">
        <v>0</v>
      </c>
    </row>
    <row r="59" spans="1:6">
      <c r="A59" s="1269" t="s">
        <v>49</v>
      </c>
      <c r="B59" s="1269" t="s">
        <v>52</v>
      </c>
      <c r="C59" s="335">
        <v>0</v>
      </c>
      <c r="D59" s="335">
        <v>0</v>
      </c>
      <c r="E59" s="335">
        <v>48</v>
      </c>
      <c r="F59" s="335">
        <v>1478772.3902608899</v>
      </c>
    </row>
    <row r="60" spans="1:6">
      <c r="A60" s="1269" t="s">
        <v>49</v>
      </c>
      <c r="B60" s="1269" t="s">
        <v>53</v>
      </c>
      <c r="C60" s="335">
        <v>0</v>
      </c>
      <c r="D60" s="335">
        <v>0</v>
      </c>
      <c r="E60" s="335">
        <v>19</v>
      </c>
      <c r="F60" s="335">
        <v>430779.63752384402</v>
      </c>
    </row>
    <row r="61" spans="1:6">
      <c r="A61" s="1269" t="s">
        <v>49</v>
      </c>
      <c r="B61" s="1269" t="s">
        <v>54</v>
      </c>
      <c r="C61" s="335">
        <v>0</v>
      </c>
      <c r="D61" s="335">
        <v>0</v>
      </c>
      <c r="E61" s="335">
        <v>43</v>
      </c>
      <c r="F61" s="335">
        <v>222964.40633277901</v>
      </c>
    </row>
    <row r="62" spans="1:6">
      <c r="A62" s="1269" t="s">
        <v>49</v>
      </c>
      <c r="B62" s="1269" t="s">
        <v>55</v>
      </c>
      <c r="C62" s="335">
        <v>0</v>
      </c>
      <c r="D62" s="335">
        <v>0</v>
      </c>
      <c r="E62" s="335">
        <v>5</v>
      </c>
      <c r="F62" s="335">
        <v>66107.465249694098</v>
      </c>
    </row>
    <row r="63" spans="1:6">
      <c r="A63" s="1269" t="s">
        <v>49</v>
      </c>
      <c r="B63" s="1269" t="s">
        <v>29</v>
      </c>
      <c r="C63" s="335">
        <v>8</v>
      </c>
      <c r="D63" s="335">
        <v>339851.22592924401</v>
      </c>
      <c r="E63" s="335">
        <v>44</v>
      </c>
      <c r="F63" s="335">
        <v>790974.62738194305</v>
      </c>
    </row>
    <row r="64" spans="1:6">
      <c r="A64" s="1269" t="s">
        <v>56</v>
      </c>
      <c r="B64" s="1269" t="s">
        <v>57</v>
      </c>
      <c r="C64" s="335">
        <v>0</v>
      </c>
      <c r="D64" s="335">
        <v>0</v>
      </c>
      <c r="E64" s="335">
        <v>0</v>
      </c>
      <c r="F64" s="335">
        <v>0</v>
      </c>
    </row>
    <row r="65" spans="1:6">
      <c r="A65" s="1269" t="s">
        <v>56</v>
      </c>
      <c r="B65" s="1269" t="s">
        <v>29</v>
      </c>
      <c r="C65" s="335">
        <v>0</v>
      </c>
      <c r="D65" s="335">
        <v>0</v>
      </c>
      <c r="E65" s="335">
        <v>1</v>
      </c>
      <c r="F65" s="335">
        <v>13912.688037551599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4517538</v>
      </c>
      <c r="E73" s="335">
        <v>4715516.6055657417</v>
      </c>
    </row>
    <row r="74" spans="1:6">
      <c r="A74" s="1269" t="s">
        <v>64</v>
      </c>
      <c r="B74" s="1269" t="s">
        <v>727</v>
      </c>
      <c r="C74" s="1269" t="s">
        <v>728</v>
      </c>
      <c r="D74" s="335">
        <v>725838.63798622706</v>
      </c>
      <c r="E74" s="335">
        <v>778183.73128980328</v>
      </c>
    </row>
    <row r="75" spans="1:6">
      <c r="A75" s="1269" t="s">
        <v>65</v>
      </c>
      <c r="B75" s="1269" t="s">
        <v>725</v>
      </c>
      <c r="C75" s="1269" t="s">
        <v>729</v>
      </c>
      <c r="D75" s="335">
        <v>1748158</v>
      </c>
      <c r="E75" s="335">
        <v>1824774.3049567107</v>
      </c>
    </row>
    <row r="76" spans="1:6">
      <c r="A76" s="1269" t="s">
        <v>65</v>
      </c>
      <c r="B76" s="1269" t="s">
        <v>727</v>
      </c>
      <c r="C76" s="1269" t="s">
        <v>730</v>
      </c>
      <c r="D76" s="335">
        <v>32499.637986227088</v>
      </c>
      <c r="E76" s="335">
        <v>35872.797929549801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24978.724027545824</v>
      </c>
      <c r="C83" s="335">
        <v>24677.35314581991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356.60630493298413</v>
      </c>
    </row>
    <row r="92" spans="1:6">
      <c r="A92" s="1265" t="s">
        <v>69</v>
      </c>
      <c r="B92" s="338">
        <v>271.90628735539332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675</v>
      </c>
    </row>
    <row r="98" spans="1:6">
      <c r="A98" s="1269" t="s">
        <v>72</v>
      </c>
      <c r="B98" s="335">
        <v>1</v>
      </c>
    </row>
    <row r="99" spans="1:6">
      <c r="A99" s="1269" t="s">
        <v>73</v>
      </c>
      <c r="B99" s="335">
        <v>5</v>
      </c>
    </row>
    <row r="100" spans="1:6">
      <c r="A100" s="1269" t="s">
        <v>74</v>
      </c>
      <c r="B100" s="335">
        <v>23</v>
      </c>
    </row>
    <row r="101" spans="1:6">
      <c r="A101" s="1269" t="s">
        <v>75</v>
      </c>
      <c r="B101" s="335">
        <v>24</v>
      </c>
    </row>
    <row r="102" spans="1:6">
      <c r="A102" s="1269" t="s">
        <v>76</v>
      </c>
      <c r="B102" s="335">
        <v>17</v>
      </c>
    </row>
    <row r="103" spans="1:6">
      <c r="A103" s="1269" t="s">
        <v>77</v>
      </c>
      <c r="B103" s="335">
        <v>16</v>
      </c>
    </row>
    <row r="104" spans="1:6">
      <c r="A104" s="1269" t="s">
        <v>78</v>
      </c>
      <c r="B104" s="335">
        <v>95</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v>
      </c>
      <c r="C123" s="335">
        <v>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v>
      </c>
    </row>
    <row r="130" spans="1:6">
      <c r="A130" s="1269" t="s">
        <v>295</v>
      </c>
      <c r="B130" s="335">
        <v>0</v>
      </c>
    </row>
    <row r="131" spans="1:6">
      <c r="A131" s="1269" t="s">
        <v>296</v>
      </c>
      <c r="B131" s="335">
        <v>0</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9404.5810360393334</v>
      </c>
      <c r="C3" s="43" t="s">
        <v>170</v>
      </c>
      <c r="D3" s="43"/>
      <c r="E3" s="156"/>
      <c r="F3" s="43"/>
      <c r="G3" s="43"/>
      <c r="H3" s="43"/>
      <c r="I3" s="43"/>
      <c r="J3" s="43"/>
      <c r="K3" s="96"/>
    </row>
    <row r="4" spans="1:11">
      <c r="A4" s="366" t="s">
        <v>171</v>
      </c>
      <c r="B4" s="49">
        <f>IF(ISERROR('SEAP template'!B69),0,'SEAP template'!B69)</f>
        <v>628.51259228837739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0.20623046562484312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174.45099999999999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174.45099999999999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0.20623046562484312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35.977110958719507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4528.17559109784</v>
      </c>
      <c r="C5" s="17">
        <f>IF(ISERROR('Eigen informatie GS &amp; warmtenet'!B57),0,'Eigen informatie GS &amp; warmtenet'!B57)</f>
        <v>0</v>
      </c>
      <c r="D5" s="30">
        <f>(SUM(HH_hh_gas_kWh,HH_rest_gas_kWh)/1000)*0.902</f>
        <v>22964.086235065821</v>
      </c>
      <c r="E5" s="17">
        <f>B46*B57</f>
        <v>0</v>
      </c>
      <c r="F5" s="17">
        <f>B51*B62</f>
        <v>0</v>
      </c>
      <c r="G5" s="18"/>
      <c r="H5" s="17"/>
      <c r="I5" s="17"/>
      <c r="J5" s="17">
        <f>B50*B61+C50*C61</f>
        <v>0</v>
      </c>
      <c r="K5" s="17"/>
      <c r="L5" s="17"/>
      <c r="M5" s="17"/>
      <c r="N5" s="17">
        <f>B48*B59+C48*C59</f>
        <v>0</v>
      </c>
      <c r="O5" s="17">
        <f>B69*B70*B71</f>
        <v>18.760000000000002</v>
      </c>
      <c r="P5" s="17">
        <f>B77*B78*B79/1000-B77*B78*B79/1000/B80</f>
        <v>171.6</v>
      </c>
    </row>
    <row r="6" spans="1:16">
      <c r="A6" s="16" t="s">
        <v>634</v>
      </c>
      <c r="B6" s="831">
        <f>kWh_PV_kleiner_dan_10kW</f>
        <v>356.60630493298413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4884.7818960308241</v>
      </c>
      <c r="C8" s="21">
        <f>C5</f>
        <v>0</v>
      </c>
      <c r="D8" s="21">
        <f>D5</f>
        <v>22964.086235065821</v>
      </c>
      <c r="E8" s="21">
        <f>E5</f>
        <v>0</v>
      </c>
      <c r="F8" s="21">
        <f>F5</f>
        <v>0</v>
      </c>
      <c r="G8" s="21"/>
      <c r="H8" s="21"/>
      <c r="I8" s="21"/>
      <c r="J8" s="21">
        <f>J5</f>
        <v>0</v>
      </c>
      <c r="K8" s="21"/>
      <c r="L8" s="21">
        <f>L5</f>
        <v>0</v>
      </c>
      <c r="M8" s="21">
        <f>M5</f>
        <v>0</v>
      </c>
      <c r="N8" s="21">
        <f>N5</f>
        <v>0</v>
      </c>
      <c r="O8" s="21">
        <f>O5</f>
        <v>18.760000000000002</v>
      </c>
      <c r="P8" s="21">
        <f>P5</f>
        <v>171.6</v>
      </c>
    </row>
    <row r="9" spans="1:16">
      <c r="B9" s="19"/>
      <c r="C9" s="19"/>
      <c r="D9" s="261"/>
      <c r="E9" s="19"/>
      <c r="F9" s="19"/>
      <c r="G9" s="19"/>
      <c r="H9" s="19"/>
      <c r="I9" s="19"/>
      <c r="J9" s="19"/>
      <c r="K9" s="19"/>
      <c r="L9" s="19"/>
      <c r="M9" s="19"/>
      <c r="N9" s="19"/>
      <c r="O9" s="19"/>
      <c r="P9" s="19"/>
    </row>
    <row r="10" spans="1:16">
      <c r="A10" s="24" t="s">
        <v>214</v>
      </c>
      <c r="B10" s="25">
        <f ca="1">'EF ele_warmte'!B12</f>
        <v>0.20623046562484312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1007.3908448942409</v>
      </c>
      <c r="C12" s="23">
        <f ca="1">C10*C8</f>
        <v>0</v>
      </c>
      <c r="D12" s="23">
        <f>D8*D10</f>
        <v>4638.7454194832962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675</v>
      </c>
      <c r="C18" s="168" t="s">
        <v>111</v>
      </c>
      <c r="D18" s="230"/>
      <c r="E18" s="15"/>
    </row>
    <row r="19" spans="1:7">
      <c r="A19" s="173" t="s">
        <v>72</v>
      </c>
      <c r="B19" s="37">
        <f>aantalw2001_ander</f>
        <v>1</v>
      </c>
      <c r="C19" s="168" t="s">
        <v>111</v>
      </c>
      <c r="D19" s="231"/>
      <c r="E19" s="15"/>
    </row>
    <row r="20" spans="1:7">
      <c r="A20" s="173" t="s">
        <v>73</v>
      </c>
      <c r="B20" s="37">
        <f>aantalw2001_propaan</f>
        <v>5</v>
      </c>
      <c r="C20" s="169">
        <f>IF(ISERROR(B20/SUM($B$20,$B$21,$B$22)*100),0,B20/SUM($B$20,$B$21,$B$22)*100)</f>
        <v>9.6153846153846168</v>
      </c>
      <c r="D20" s="231"/>
      <c r="E20" s="15"/>
    </row>
    <row r="21" spans="1:7">
      <c r="A21" s="173" t="s">
        <v>74</v>
      </c>
      <c r="B21" s="37">
        <f>aantalw2001_elektriciteit</f>
        <v>23</v>
      </c>
      <c r="C21" s="169">
        <f>IF(ISERROR(B21/SUM($B$20,$B$21,$B$22)*100),0,B21/SUM($B$20,$B$21,$B$22)*100)</f>
        <v>44.230769230769226</v>
      </c>
      <c r="D21" s="231"/>
      <c r="E21" s="15"/>
    </row>
    <row r="22" spans="1:7">
      <c r="A22" s="173" t="s">
        <v>75</v>
      </c>
      <c r="B22" s="37">
        <f>aantalw2001_hout</f>
        <v>24</v>
      </c>
      <c r="C22" s="169">
        <f>IF(ISERROR(B22/SUM($B$20,$B$21,$B$22)*100),0,B22/SUM($B$20,$B$21,$B$22)*100)</f>
        <v>46.153846153846153</v>
      </c>
      <c r="D22" s="231"/>
      <c r="E22" s="15"/>
    </row>
    <row r="23" spans="1:7">
      <c r="A23" s="173" t="s">
        <v>76</v>
      </c>
      <c r="B23" s="37">
        <f>aantalw2001_niet_gespec</f>
        <v>17</v>
      </c>
      <c r="C23" s="168" t="s">
        <v>111</v>
      </c>
      <c r="D23" s="230"/>
      <c r="E23" s="15"/>
    </row>
    <row r="24" spans="1:7">
      <c r="A24" s="173" t="s">
        <v>77</v>
      </c>
      <c r="B24" s="37">
        <f>aantalw2001_steenkool</f>
        <v>16</v>
      </c>
      <c r="C24" s="168" t="s">
        <v>111</v>
      </c>
      <c r="D24" s="231"/>
      <c r="E24" s="15"/>
    </row>
    <row r="25" spans="1:7">
      <c r="A25" s="173" t="s">
        <v>78</v>
      </c>
      <c r="B25" s="37">
        <f>aantalw2001_stookolie</f>
        <v>95</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1062</v>
      </c>
      <c r="C28" s="36"/>
      <c r="D28" s="230"/>
    </row>
    <row r="29" spans="1:7" s="15" customFormat="1">
      <c r="A29" s="232" t="s">
        <v>746</v>
      </c>
      <c r="B29" s="37">
        <f>SUM(HH_hh_gas_aantal,HH_rest_gas_aantal)</f>
        <v>1099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1099</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1099</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3037.3910853123161</v>
      </c>
      <c r="C5" s="17">
        <f>IF(ISERROR('Eigen informatie GS &amp; warmtenet'!B58),0,'Eigen informatie GS &amp; warmtenet'!B58)</f>
        <v>0</v>
      </c>
      <c r="D5" s="30">
        <f>SUM(D6:D12)</f>
        <v>306.54580578817814</v>
      </c>
      <c r="E5" s="17">
        <f>SUM(E6:E12)</f>
        <v>56.321566271028772</v>
      </c>
      <c r="F5" s="17">
        <f>SUM(F6:F12)</f>
        <v>609.08521726750814</v>
      </c>
      <c r="G5" s="18"/>
      <c r="H5" s="17"/>
      <c r="I5" s="17"/>
      <c r="J5" s="17">
        <f>SUM(J6:J12)</f>
        <v>0</v>
      </c>
      <c r="K5" s="17"/>
      <c r="L5" s="17"/>
      <c r="M5" s="17"/>
      <c r="N5" s="17">
        <f>SUM(N6:N12)</f>
        <v>100.72691384581833</v>
      </c>
      <c r="O5" s="17">
        <f>B38*B39*B40</f>
        <v>0</v>
      </c>
      <c r="P5" s="17">
        <f>B46*B47*B48/1000-B46*B47*B48/1000/B49</f>
        <v>0</v>
      </c>
      <c r="R5" s="32"/>
    </row>
    <row r="6" spans="1:18">
      <c r="A6" s="32" t="s">
        <v>54</v>
      </c>
      <c r="B6" s="37">
        <f>B26</f>
        <v>222.96440633277899</v>
      </c>
      <c r="C6" s="33"/>
      <c r="D6" s="37">
        <f>IF(ISERROR(TER_kantoor_gas_kWh/1000),0,TER_kantoor_gas_kWh/1000)*0.902</f>
        <v>0</v>
      </c>
      <c r="E6" s="33">
        <f>$C$26*'E Balans VL '!I12/100/3.6*1000000</f>
        <v>0.86626392291801901</v>
      </c>
      <c r="F6" s="33">
        <f>$C$26*('E Balans VL '!L12+'E Balans VL '!N12)/100/3.6*1000000</f>
        <v>33.910857388869175</v>
      </c>
      <c r="G6" s="34"/>
      <c r="H6" s="33"/>
      <c r="I6" s="33"/>
      <c r="J6" s="33">
        <f>$C$26*('E Balans VL '!D12+'E Balans VL '!E12)/100/3.6*1000000</f>
        <v>0</v>
      </c>
      <c r="K6" s="33"/>
      <c r="L6" s="33"/>
      <c r="M6" s="33"/>
      <c r="N6" s="33">
        <f>$C$26*'E Balans VL '!Y12/100/3.6*1000000</f>
        <v>0.12288009836744249</v>
      </c>
      <c r="O6" s="33"/>
      <c r="P6" s="33"/>
      <c r="R6" s="32"/>
    </row>
    <row r="7" spans="1:18">
      <c r="A7" s="32" t="s">
        <v>53</v>
      </c>
      <c r="B7" s="37">
        <f t="shared" ref="B7:B12" si="0">B27</f>
        <v>430.77963752384403</v>
      </c>
      <c r="C7" s="33"/>
      <c r="D7" s="37">
        <f>IF(ISERROR(TER_horeca_gas_kWh/1000),0,TER_horeca_gas_kWh/1000)*0.902</f>
        <v>0</v>
      </c>
      <c r="E7" s="33">
        <f>$C$27*'E Balans VL '!I9/100/3.6*1000000</f>
        <v>24.265932153111326</v>
      </c>
      <c r="F7" s="33">
        <f>$C$27*('E Balans VL '!L9+'E Balans VL '!N9)/100/3.6*1000000</f>
        <v>124.21105721146017</v>
      </c>
      <c r="G7" s="34"/>
      <c r="H7" s="33"/>
      <c r="I7" s="33"/>
      <c r="J7" s="33">
        <f>$C$27*('E Balans VL '!D9+'E Balans VL '!E9)/100/3.6*1000000</f>
        <v>0</v>
      </c>
      <c r="K7" s="33"/>
      <c r="L7" s="33"/>
      <c r="M7" s="33"/>
      <c r="N7" s="33">
        <f>$C$27*'E Balans VL '!Y9/100/3.6*1000000</f>
        <v>0.11893601937871925</v>
      </c>
      <c r="O7" s="33"/>
      <c r="P7" s="33"/>
      <c r="R7" s="32"/>
    </row>
    <row r="8" spans="1:18">
      <c r="A8" s="6" t="s">
        <v>52</v>
      </c>
      <c r="B8" s="37">
        <f t="shared" si="0"/>
        <v>1478.77239026089</v>
      </c>
      <c r="C8" s="33"/>
      <c r="D8" s="37">
        <f>IF(ISERROR(TER_handel_gas_kWh/1000),0,TER_handel_gas_kWh/1000)*0.902</f>
        <v>0</v>
      </c>
      <c r="E8" s="33">
        <f>$C$28*'E Balans VL '!I13/100/3.6*1000000</f>
        <v>21.314127119312538</v>
      </c>
      <c r="F8" s="33">
        <f>$C$28*('E Balans VL '!L13+'E Balans VL '!N13)/100/3.6*1000000</f>
        <v>256.89720247342979</v>
      </c>
      <c r="G8" s="34"/>
      <c r="H8" s="33"/>
      <c r="I8" s="33"/>
      <c r="J8" s="33">
        <f>$C$28*('E Balans VL '!D13+'E Balans VL '!E13)/100/3.6*1000000</f>
        <v>0</v>
      </c>
      <c r="K8" s="33"/>
      <c r="L8" s="33"/>
      <c r="M8" s="33"/>
      <c r="N8" s="33">
        <f>$C$28*'E Balans VL '!Y13/100/3.6*1000000</f>
        <v>4.430566701555315</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47.792558563165997</v>
      </c>
      <c r="C10" s="33"/>
      <c r="D10" s="37">
        <f>IF(ISERROR(TER_ander_gas_kWh/1000),0,TER_ander_gas_kWh/1000)*0.902</f>
        <v>0</v>
      </c>
      <c r="E10" s="33">
        <f>$C$30*'E Balans VL '!I14/100/3.6*1000000</f>
        <v>0.21979070704418019</v>
      </c>
      <c r="F10" s="33">
        <f>$C$30*('E Balans VL '!L14+'E Balans VL '!N14)/100/3.6*1000000</f>
        <v>14.324937314170615</v>
      </c>
      <c r="G10" s="34"/>
      <c r="H10" s="33"/>
      <c r="I10" s="33"/>
      <c r="J10" s="33">
        <f>$C$30*('E Balans VL '!D14+'E Balans VL '!E14)/100/3.6*1000000</f>
        <v>0</v>
      </c>
      <c r="K10" s="33"/>
      <c r="L10" s="33"/>
      <c r="M10" s="33"/>
      <c r="N10" s="33">
        <f>$C$30*'E Balans VL '!Y14/100/3.6*1000000</f>
        <v>33.266775583491743</v>
      </c>
      <c r="O10" s="33"/>
      <c r="P10" s="33"/>
      <c r="R10" s="32"/>
    </row>
    <row r="11" spans="1:18">
      <c r="A11" s="32" t="s">
        <v>55</v>
      </c>
      <c r="B11" s="37">
        <f t="shared" si="0"/>
        <v>66.107465249694101</v>
      </c>
      <c r="C11" s="33"/>
      <c r="D11" s="37">
        <f>IF(ISERROR(TER_onderwijs_gas_kWh/1000),0,TER_onderwijs_gas_kWh/1000)*0.902</f>
        <v>0</v>
      </c>
      <c r="E11" s="33">
        <f>$C$31*'E Balans VL '!I11/100/3.6*1000000</f>
        <v>6.1323367731077716E-2</v>
      </c>
      <c r="F11" s="33">
        <f>$C$31*('E Balans VL '!L11+'E Balans VL '!N11)/100/3.6*1000000</f>
        <v>23.22203317136578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790.97462738194304</v>
      </c>
      <c r="C12" s="33"/>
      <c r="D12" s="37">
        <f>IF(ISERROR(TER_rest_gas_kWh/1000),0,TER_rest_gas_kWh/1000)*0.902</f>
        <v>306.54580578817814</v>
      </c>
      <c r="E12" s="33">
        <f>$C$32*'E Balans VL '!I8/100/3.6*1000000</f>
        <v>9.5941290009116322</v>
      </c>
      <c r="F12" s="33">
        <f>$C$32*('E Balans VL '!L8+'E Balans VL '!N8)/100/3.6*1000000</f>
        <v>156.5191297082126</v>
      </c>
      <c r="G12" s="34"/>
      <c r="H12" s="33"/>
      <c r="I12" s="33"/>
      <c r="J12" s="33">
        <f>$C$32*('E Balans VL '!D8+'E Balans VL '!E8)/100/3.6*1000000</f>
        <v>0</v>
      </c>
      <c r="K12" s="33"/>
      <c r="L12" s="33"/>
      <c r="M12" s="33"/>
      <c r="N12" s="33">
        <f>$C$32*'E Balans VL '!Y8/100/3.6*1000000</f>
        <v>62.787755443025105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3037.3910853123161</v>
      </c>
      <c r="C16" s="21">
        <f t="shared" ca="1" si="1"/>
        <v>0</v>
      </c>
      <c r="D16" s="21">
        <f t="shared" ca="1" si="1"/>
        <v>306.54580578817814</v>
      </c>
      <c r="E16" s="21">
        <f t="shared" si="1"/>
        <v>56.321566271028772</v>
      </c>
      <c r="F16" s="21">
        <f t="shared" ca="1" si="1"/>
        <v>609.08521726750814</v>
      </c>
      <c r="G16" s="21">
        <f t="shared" si="1"/>
        <v>0</v>
      </c>
      <c r="H16" s="21">
        <f t="shared" si="1"/>
        <v>0</v>
      </c>
      <c r="I16" s="21">
        <f t="shared" si="1"/>
        <v>0</v>
      </c>
      <c r="J16" s="21">
        <f t="shared" si="1"/>
        <v>0</v>
      </c>
      <c r="K16" s="21">
        <f t="shared" si="1"/>
        <v>0</v>
      </c>
      <c r="L16" s="21">
        <f t="shared" ca="1" si="1"/>
        <v>0</v>
      </c>
      <c r="M16" s="21">
        <f t="shared" si="1"/>
        <v>0</v>
      </c>
      <c r="N16" s="21">
        <f t="shared" ca="1" si="1"/>
        <v>100.72691384581833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0.20623046562484312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626.40257780870661</v>
      </c>
      <c r="C20" s="23">
        <f t="shared" ref="C20:P20" ca="1" si="2">C16*C18</f>
        <v>0</v>
      </c>
      <c r="D20" s="23">
        <f t="shared" ca="1" si="2"/>
        <v>61.922252769211987</v>
      </c>
      <c r="E20" s="23">
        <f t="shared" si="2"/>
        <v>12.784995543523532</v>
      </c>
      <c r="F20" s="23">
        <f t="shared" ca="1" si="2"/>
        <v>162.62575301042469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222.96440633277899</v>
      </c>
      <c r="C26" s="39">
        <f>IF(ISERROR(B26*3.6/1000000/'E Balans VL '!Z12*100),0,B26*3.6/1000000/'E Balans VL '!Z12*100)</f>
        <v>4.7358744327178322E-3</v>
      </c>
      <c r="D26" s="239" t="s">
        <v>692</v>
      </c>
      <c r="F26" s="6"/>
    </row>
    <row r="27" spans="1:18">
      <c r="A27" s="233" t="s">
        <v>53</v>
      </c>
      <c r="B27" s="33">
        <f>IF(ISERROR(TER_horeca_ele_kWh/1000),0,TER_horeca_ele_kWh/1000)</f>
        <v>430.77963752384403</v>
      </c>
      <c r="C27" s="39">
        <f>IF(ISERROR(B27*3.6/1000000/'E Balans VL '!Z9*100),0,B27*3.6/1000000/'E Balans VL '!Z9*100)</f>
        <v>3.3495740299199626E-2</v>
      </c>
      <c r="D27" s="239" t="s">
        <v>692</v>
      </c>
      <c r="F27" s="6"/>
    </row>
    <row r="28" spans="1:18">
      <c r="A28" s="173" t="s">
        <v>52</v>
      </c>
      <c r="B28" s="33">
        <f>IF(ISERROR(TER_handel_ele_kWh/1000),0,TER_handel_ele_kWh/1000)</f>
        <v>1478.77239026089</v>
      </c>
      <c r="C28" s="39">
        <f>IF(ISERROR(B28*3.6/1000000/'E Balans VL '!Z13*100),0,B28*3.6/1000000/'E Balans VL '!Z13*100)</f>
        <v>4.2309418426372251E-2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47.792558563165997</v>
      </c>
      <c r="C30" s="39">
        <f>IF(ISERROR(B30*3.6/1000000/'E Balans VL '!Z14*100),0,B30*3.6/1000000/'E Balans VL '!Z14*100)</f>
        <v>3.4973510208034099E-3</v>
      </c>
      <c r="D30" s="239" t="s">
        <v>692</v>
      </c>
      <c r="F30" s="6"/>
    </row>
    <row r="31" spans="1:18">
      <c r="A31" s="233" t="s">
        <v>55</v>
      </c>
      <c r="B31" s="33">
        <f>IF(ISERROR(TER_onderwijs_ele_kWh/1000),0,TER_onderwijs_ele_kWh/1000)</f>
        <v>66.107465249694101</v>
      </c>
      <c r="C31" s="39">
        <f>IF(ISERROR(B31*3.6/1000000/'E Balans VL '!Z11*100),0,B31*3.6/1000000/'E Balans VL '!Z11*100)</f>
        <v>1.3277733485451099E-2</v>
      </c>
      <c r="D31" s="239" t="s">
        <v>692</v>
      </c>
    </row>
    <row r="32" spans="1:18">
      <c r="A32" s="233" t="s">
        <v>260</v>
      </c>
      <c r="B32" s="33">
        <f>IF(ISERROR(TER_rest_ele_kWh/1000),0,TER_rest_ele_kWh/1000)</f>
        <v>790.97462738194304</v>
      </c>
      <c r="C32" s="39">
        <f>IF(ISERROR(B32*3.6/1000000/'E Balans VL '!Z8*100),0,B32*3.6/1000000/'E Balans VL '!Z8*100)</f>
        <v>6.4459631950508104E-3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325.71385677526808</v>
      </c>
      <c r="C5" s="17">
        <f>IF(ISERROR('Eigen informatie GS &amp; warmtenet'!B59),0,'Eigen informatie GS &amp; warmtenet'!B59)</f>
        <v>0</v>
      </c>
      <c r="D5" s="30">
        <f>SUM(D6:D15)</f>
        <v>0</v>
      </c>
      <c r="E5" s="17">
        <f>SUM(E6:E15)</f>
        <v>31.009796774266263</v>
      </c>
      <c r="F5" s="17">
        <f>SUM(F6:F15)</f>
        <v>102.32111260499607</v>
      </c>
      <c r="G5" s="18"/>
      <c r="H5" s="17"/>
      <c r="I5" s="17"/>
      <c r="J5" s="17">
        <f>SUM(J6:J15)</f>
        <v>0.68169037640914221</v>
      </c>
      <c r="K5" s="17"/>
      <c r="L5" s="17"/>
      <c r="M5" s="17"/>
      <c r="N5" s="17">
        <f>SUM(N6:N15)</f>
        <v>71.703200054278483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59.746767137349103</v>
      </c>
      <c r="C9" s="33"/>
      <c r="D9" s="37">
        <f>IF( ISERROR(IND_andere_gas_kWh/1000),0,IND_andere_gas_kWh/1000)*0.902</f>
        <v>0</v>
      </c>
      <c r="E9" s="33">
        <f>C31*'E Balans VL '!I19/100/3.6*1000000</f>
        <v>16.171980867900292</v>
      </c>
      <c r="F9" s="33">
        <f>C31*'E Balans VL '!L19/100/3.6*1000000+C31*'E Balans VL '!N19/100/3.6*1000000</f>
        <v>39.79766944215222</v>
      </c>
      <c r="G9" s="34"/>
      <c r="H9" s="33"/>
      <c r="I9" s="33"/>
      <c r="J9" s="40">
        <f>C31*'E Balans VL '!D19/100/3.6*1000000+C31*'E Balans VL '!E19/100/3.6*1000000</f>
        <v>0</v>
      </c>
      <c r="K9" s="33"/>
      <c r="L9" s="33"/>
      <c r="M9" s="33"/>
      <c r="N9" s="33">
        <f>C31*'E Balans VL '!Y19/100/3.6*1000000</f>
        <v>19.506326991575222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265.967089637919</v>
      </c>
      <c r="C15" s="33"/>
      <c r="D15" s="37">
        <f>IF( ISERROR(IND_rest_gas_kWh/1000),0,IND_rest_gas_kWh/1000)*0.902</f>
        <v>0</v>
      </c>
      <c r="E15" s="33">
        <f>C37*'E Balans VL '!I15/100/3.6*1000000</f>
        <v>14.837815906365973</v>
      </c>
      <c r="F15" s="33">
        <f>C37*'E Balans VL '!L15/100/3.6*1000000+C37*'E Balans VL '!N15/100/3.6*1000000</f>
        <v>62.523443162843847</v>
      </c>
      <c r="G15" s="34"/>
      <c r="H15" s="33"/>
      <c r="I15" s="33"/>
      <c r="J15" s="40">
        <f>C37*'E Balans VL '!D15/100/3.6*1000000+C37*'E Balans VL '!E15/100/3.6*1000000</f>
        <v>0.68169037640914221</v>
      </c>
      <c r="K15" s="33"/>
      <c r="L15" s="33"/>
      <c r="M15" s="33"/>
      <c r="N15" s="33">
        <f>C37*'E Balans VL '!Y15/100/3.6*1000000</f>
        <v>52.196873062703268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325.71385677526808</v>
      </c>
      <c r="C18" s="21">
        <f>C5+C16</f>
        <v>0</v>
      </c>
      <c r="D18" s="21">
        <f>MAX((D5+D16),0)</f>
        <v>0</v>
      </c>
      <c r="E18" s="21">
        <f>MAX((E5+E16),0)</f>
        <v>31.009796774266263</v>
      </c>
      <c r="F18" s="21">
        <f>MAX((F5+F16),0)</f>
        <v>102.32111260499607</v>
      </c>
      <c r="G18" s="21"/>
      <c r="H18" s="21"/>
      <c r="I18" s="21"/>
      <c r="J18" s="21">
        <f>MAX((J5+J16),0)</f>
        <v>0.68169037640914221</v>
      </c>
      <c r="K18" s="21"/>
      <c r="L18" s="21">
        <f>MAX((L5+L16),0)</f>
        <v>0</v>
      </c>
      <c r="M18" s="21"/>
      <c r="N18" s="21">
        <f>MAX((N5+N16),0)</f>
        <v>71.703200054278483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0.20623046562484312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67.172120343227007</v>
      </c>
      <c r="C22" s="23">
        <f ca="1">C18*C20</f>
        <v>0</v>
      </c>
      <c r="D22" s="23">
        <f>D18*D20</f>
        <v>0</v>
      </c>
      <c r="E22" s="23">
        <f>E18*E20</f>
        <v>7.0392238677584418</v>
      </c>
      <c r="F22" s="23">
        <f>F18*F20</f>
        <v>27.319737065533953</v>
      </c>
      <c r="G22" s="23"/>
      <c r="H22" s="23"/>
      <c r="I22" s="23"/>
      <c r="J22" s="23">
        <f>J18*J20</f>
        <v>0.24131839324883633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59.746767137349103</v>
      </c>
      <c r="C31" s="39">
        <f>IF(ISERROR(B31*3.6/1000000/'E Balans VL '!Z19*100),0,B31*3.6/1000000/'E Balans VL '!Z19*100)</f>
        <v>2.6019240493048851E-3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265.967089637919</v>
      </c>
      <c r="C37" s="39">
        <f>IF(ISERROR(B37*3.6/1000000/'E Balans VL '!Z15*100),0,B37*3.6/1000000/'E Balans VL '!Z15*100)</f>
        <v>2.0496031005832684E-3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981.90106619492838</v>
      </c>
      <c r="C5" s="17">
        <f>'Eigen informatie GS &amp; warmtenet'!B60</f>
        <v>0</v>
      </c>
      <c r="D5" s="30">
        <f>IF(ISERROR(SUM(LB_lb_gas_kWh,LB_rest_gas_kWh,onbekend_gas_kWh)/1000),0,SUM(LB_lb_gas_kWh,LB_rest_gas_kWh,onbekend_gas_kWh)/1000)*0.902</f>
        <v>1254.1207048894969</v>
      </c>
      <c r="E5" s="17">
        <f>B17*'E Balans VL '!I25/3.6*1000000/100</f>
        <v>12.373218379818859</v>
      </c>
      <c r="F5" s="17">
        <f>B17*('E Balans VL '!L25/3.6*1000000+'E Balans VL '!N25/3.6*1000000)/100</f>
        <v>3387.8046592875471</v>
      </c>
      <c r="G5" s="18"/>
      <c r="H5" s="17"/>
      <c r="I5" s="17"/>
      <c r="J5" s="17">
        <f>('E Balans VL '!D25+'E Balans VL '!E25)/3.6*1000000*landbouw!B17/100</f>
        <v>147.66675849833535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981.90106619492838</v>
      </c>
      <c r="C8" s="21">
        <f>C5+C6</f>
        <v>0</v>
      </c>
      <c r="D8" s="21">
        <f>MAX((D5+D6),0)</f>
        <v>1254.1207048894969</v>
      </c>
      <c r="E8" s="21">
        <f>MAX((E5+E6),0)</f>
        <v>12.373218379818859</v>
      </c>
      <c r="F8" s="21">
        <f>MAX((F5+F6),0)</f>
        <v>3387.8046592875471</v>
      </c>
      <c r="G8" s="21"/>
      <c r="H8" s="21"/>
      <c r="I8" s="21"/>
      <c r="J8" s="21">
        <f>MAX((J5+J6),0)</f>
        <v>147.66675849833535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0.20623046562484312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202.49791407890999</v>
      </c>
      <c r="C12" s="23">
        <f ca="1">C8*C10</f>
        <v>0</v>
      </c>
      <c r="D12" s="23">
        <f>D8*D10</f>
        <v>253.33238238767839</v>
      </c>
      <c r="E12" s="23">
        <f>E8*E10</f>
        <v>2.8087205722188808</v>
      </c>
      <c r="F12" s="23">
        <f>F8*F10</f>
        <v>904.54384402977507</v>
      </c>
      <c r="G12" s="23"/>
      <c r="H12" s="23"/>
      <c r="I12" s="23"/>
      <c r="J12" s="23">
        <f>J8*J10</f>
        <v>52.274032508410713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0.13694425100898699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157.78035355729523</v>
      </c>
      <c r="C26" s="249">
        <f>B26*'GWP N2O_CH4'!B5</f>
        <v>3313.3874247031999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90.720810040386013</v>
      </c>
      <c r="C27" s="249">
        <f>B27*'GWP N2O_CH4'!B5</f>
        <v>1905.1370108481062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2.2830316298086246</v>
      </c>
      <c r="C28" s="249">
        <f>B28*'GWP N2O_CH4'!B4</f>
        <v>707.7398052406736</v>
      </c>
      <c r="D28" s="50"/>
    </row>
    <row r="29" spans="1:4">
      <c r="A29" s="41" t="s">
        <v>277</v>
      </c>
      <c r="B29" s="249">
        <f>B34*'ha_N2O bodem landbouw'!B4</f>
        <v>2.83535309810296</v>
      </c>
      <c r="C29" s="249">
        <f>B29*'GWP N2O_CH4'!B4</f>
        <v>878.95946041191758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7.0795933695741084E-4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1.2316742135860498E-6</v>
      </c>
      <c r="C5" s="448" t="s">
        <v>211</v>
      </c>
      <c r="D5" s="433">
        <f>SUM(D6:D11)</f>
        <v>2.1246288646688977E-6</v>
      </c>
      <c r="E5" s="433">
        <f>SUM(E6:E11)</f>
        <v>6.457833638400567E-5</v>
      </c>
      <c r="F5" s="446" t="s">
        <v>211</v>
      </c>
      <c r="G5" s="433">
        <f>SUM(G6:G11)</f>
        <v>1.8593315354893725E-2</v>
      </c>
      <c r="H5" s="433">
        <f>SUM(H6:H11)</f>
        <v>3.1701000957690185E-3</v>
      </c>
      <c r="I5" s="448" t="s">
        <v>211</v>
      </c>
      <c r="J5" s="448" t="s">
        <v>211</v>
      </c>
      <c r="K5" s="448" t="s">
        <v>211</v>
      </c>
      <c r="L5" s="448" t="s">
        <v>211</v>
      </c>
      <c r="M5" s="433">
        <f>SUM(M6:M11)</f>
        <v>9.8374964703598351E-4</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8.8803144351323392E-7</v>
      </c>
      <c r="C6" s="949"/>
      <c r="D6" s="949">
        <f>vkm_2011_GW_PW*SUMIFS(TableVerdeelsleutelVkm[CNG],TableVerdeelsleutelVkm[Voertuigtype],"Lichte voertuigen")*SUMIFS(TableECFTransport[EnergieConsumptieFactor (PJ per km)],TableECFTransport[Index],CONCATENATE($A6,"_CNG_CNG"))</f>
        <v>1.2576262057501092E-6</v>
      </c>
      <c r="E6" s="949">
        <f>vkm_2011_GW_PW*SUMIFS(TableVerdeelsleutelVkm[LPG],TableVerdeelsleutelVkm[Voertuigtype],"Lichte voertuigen")*SUMIFS(TableECFTransport[EnergieConsumptieFactor (PJ per km)],TableECFTransport[Index],CONCATENATE($A6,"_LPG_LPG"))</f>
        <v>3.9497898907839072E-5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7.0988539667563256E-3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1.9021950420485482E-3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4.0723621798201834E-4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6.8517340973424865E-3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2.4343500944857255E-6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3.0919707557030104E-4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3.4364277007281578E-7</v>
      </c>
      <c r="C8" s="949"/>
      <c r="D8" s="436">
        <f>vkm_2011_NGW_PW*SUMIFS(TableVerdeelsleutelVkm[CNG],TableVerdeelsleutelVkm[Voertuigtype],"Lichte voertuigen")*SUMIFS(TableECFTransport[EnergieConsumptieFactor (PJ per km)],TableECFTransport[Index],CONCATENATE($A8,"_CNG_CNG"))</f>
        <v>8.6700265891878842E-7</v>
      </c>
      <c r="E8" s="436">
        <f>vkm_2011_NGW_PW*SUMIFS(TableVerdeelsleutelVkm[LPG],TableVerdeelsleutelVkm[Voertuigtype],"Lichte voertuigen")*SUMIFS(TableECFTransport[EnergieConsumptieFactor (PJ per km)],TableECFTransport[Index],CONCATENATE($A8,"_LPG_LPG"))</f>
        <v>2.5080437476166597E-5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4.2513773571270924E-3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1.265339128891606E-3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2.4965631107906784E-4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3.9134993366781958E-4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1.3157473437841827E-7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1.7660042404596172E-5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0.3421317259961249</v>
      </c>
      <c r="C14" s="21"/>
      <c r="D14" s="21">
        <f t="shared" ref="D14:M14" si="0">((D5)*10^9/3600)+D12</f>
        <v>0.59017468463024936</v>
      </c>
      <c r="E14" s="21">
        <f t="shared" si="0"/>
        <v>17.938426773334907</v>
      </c>
      <c r="F14" s="21"/>
      <c r="G14" s="21">
        <f t="shared" si="0"/>
        <v>5164.8098208038127</v>
      </c>
      <c r="H14" s="21">
        <f t="shared" si="0"/>
        <v>880.58335993583842</v>
      </c>
      <c r="I14" s="21"/>
      <c r="J14" s="21"/>
      <c r="K14" s="21"/>
      <c r="L14" s="21"/>
      <c r="M14" s="21">
        <f t="shared" si="0"/>
        <v>273.26379084332876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0.20623046562484312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7.055798515721208E-2</v>
      </c>
      <c r="C18" s="23"/>
      <c r="D18" s="23">
        <f t="shared" ref="D18:M18" si="1">D14*D16</f>
        <v>0.11921528629531038</v>
      </c>
      <c r="E18" s="23">
        <f t="shared" si="1"/>
        <v>4.072022877547024</v>
      </c>
      <c r="F18" s="23"/>
      <c r="G18" s="23">
        <f t="shared" si="1"/>
        <v>1379.004222154618</v>
      </c>
      <c r="H18" s="23">
        <f t="shared" si="1"/>
        <v>219.26525662402378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3.258836354958285E-4</v>
      </c>
      <c r="H50" s="323">
        <f t="shared" si="2"/>
        <v>0</v>
      </c>
      <c r="I50" s="323">
        <f t="shared" si="2"/>
        <v>0</v>
      </c>
      <c r="J50" s="323">
        <f t="shared" si="2"/>
        <v>0</v>
      </c>
      <c r="K50" s="323">
        <f t="shared" si="2"/>
        <v>0</v>
      </c>
      <c r="L50" s="323">
        <f t="shared" si="2"/>
        <v>0</v>
      </c>
      <c r="M50" s="323">
        <f t="shared" si="2"/>
        <v>1.4492842354621002E-5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3.258836354958285E-4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1.4492842354621002E-5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90.523232082174587</v>
      </c>
      <c r="H54" s="21">
        <f t="shared" si="3"/>
        <v>0</v>
      </c>
      <c r="I54" s="21">
        <f t="shared" si="3"/>
        <v>0</v>
      </c>
      <c r="J54" s="21">
        <f t="shared" si="3"/>
        <v>0</v>
      </c>
      <c r="K54" s="21">
        <f t="shared" si="3"/>
        <v>0</v>
      </c>
      <c r="L54" s="21">
        <f t="shared" si="3"/>
        <v>0</v>
      </c>
      <c r="M54" s="21">
        <f t="shared" si="3"/>
        <v>4.0257895429502781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0.20623046562484312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24.169702965940616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628.51259228837739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628.51259228837739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3211.8420853123162</v>
      </c>
      <c r="D10" s="704">
        <f ca="1">tertiair!C16</f>
        <v>0</v>
      </c>
      <c r="E10" s="704">
        <f ca="1">tertiair!D16</f>
        <v>306.54580578817814</v>
      </c>
      <c r="F10" s="704">
        <f>tertiair!E16</f>
        <v>56.321566271028772</v>
      </c>
      <c r="G10" s="704">
        <f ca="1">tertiair!F16</f>
        <v>609.08521726750814</v>
      </c>
      <c r="H10" s="704">
        <f>tertiair!G16</f>
        <v>0</v>
      </c>
      <c r="I10" s="704">
        <f>tertiair!H16</f>
        <v>0</v>
      </c>
      <c r="J10" s="704">
        <f>tertiair!I16</f>
        <v>0</v>
      </c>
      <c r="K10" s="704">
        <f>tertiair!J16</f>
        <v>0</v>
      </c>
      <c r="L10" s="704">
        <f>tertiair!K16</f>
        <v>0</v>
      </c>
      <c r="M10" s="704">
        <f ca="1">tertiair!L16</f>
        <v>0</v>
      </c>
      <c r="N10" s="704">
        <f>tertiair!M16</f>
        <v>0</v>
      </c>
      <c r="O10" s="704">
        <f ca="1">tertiair!N16</f>
        <v>100.72691384581833</v>
      </c>
      <c r="P10" s="704">
        <f>tertiair!O16</f>
        <v>0</v>
      </c>
      <c r="Q10" s="705">
        <f>tertiair!P16</f>
        <v>0</v>
      </c>
      <c r="R10" s="707">
        <f ca="1">SUM(C10:Q10)</f>
        <v>4284.5215884848503</v>
      </c>
      <c r="S10" s="67"/>
    </row>
    <row r="11" spans="1:19" s="459" customFormat="1">
      <c r="A11" s="858" t="s">
        <v>225</v>
      </c>
      <c r="B11" s="863"/>
      <c r="C11" s="704">
        <f>huishoudens!B8</f>
        <v>4884.7818960308241</v>
      </c>
      <c r="D11" s="704">
        <f>huishoudens!C8</f>
        <v>0</v>
      </c>
      <c r="E11" s="704">
        <f>huishoudens!D8</f>
        <v>22964.086235065821</v>
      </c>
      <c r="F11" s="704">
        <f>huishoudens!E8</f>
        <v>0</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0</v>
      </c>
      <c r="P11" s="704">
        <f>huishoudens!O8</f>
        <v>18.760000000000002</v>
      </c>
      <c r="Q11" s="705">
        <f>huishoudens!P8</f>
        <v>171.6</v>
      </c>
      <c r="R11" s="707">
        <f>SUM(C11:Q11)</f>
        <v>28039.228131096643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325.71385677526808</v>
      </c>
      <c r="D13" s="704">
        <f>industrie!C18</f>
        <v>0</v>
      </c>
      <c r="E13" s="704">
        <f>industrie!D18</f>
        <v>0</v>
      </c>
      <c r="F13" s="704">
        <f>industrie!E18</f>
        <v>31.009796774266263</v>
      </c>
      <c r="G13" s="704">
        <f>industrie!F18</f>
        <v>102.32111260499607</v>
      </c>
      <c r="H13" s="704">
        <f>industrie!G18</f>
        <v>0</v>
      </c>
      <c r="I13" s="704">
        <f>industrie!H18</f>
        <v>0</v>
      </c>
      <c r="J13" s="704">
        <f>industrie!I18</f>
        <v>0</v>
      </c>
      <c r="K13" s="704">
        <f>industrie!J18</f>
        <v>0.68169037640914221</v>
      </c>
      <c r="L13" s="704">
        <f>industrie!K18</f>
        <v>0</v>
      </c>
      <c r="M13" s="704">
        <f>industrie!L18</f>
        <v>0</v>
      </c>
      <c r="N13" s="704">
        <f>industrie!M18</f>
        <v>0</v>
      </c>
      <c r="O13" s="704">
        <f>industrie!N18</f>
        <v>71.703200054278483</v>
      </c>
      <c r="P13" s="704">
        <f>industrie!O18</f>
        <v>0</v>
      </c>
      <c r="Q13" s="705">
        <f>industrie!P18</f>
        <v>0</v>
      </c>
      <c r="R13" s="707">
        <f>SUM(C13:Q13)</f>
        <v>531.42965658521803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8422.3378381184084</v>
      </c>
      <c r="D15" s="709">
        <f t="shared" ref="D15:Q15" ca="1" si="0">SUM(D9:D14)</f>
        <v>0</v>
      </c>
      <c r="E15" s="709">
        <f t="shared" ca="1" si="0"/>
        <v>23270.632040853998</v>
      </c>
      <c r="F15" s="709">
        <f t="shared" si="0"/>
        <v>87.331363045295035</v>
      </c>
      <c r="G15" s="709">
        <f t="shared" ca="1" si="0"/>
        <v>711.40632987250422</v>
      </c>
      <c r="H15" s="709">
        <f t="shared" si="0"/>
        <v>0</v>
      </c>
      <c r="I15" s="709">
        <f t="shared" si="0"/>
        <v>0</v>
      </c>
      <c r="J15" s="709">
        <f t="shared" si="0"/>
        <v>0</v>
      </c>
      <c r="K15" s="709">
        <f t="shared" si="0"/>
        <v>0.68169037640914221</v>
      </c>
      <c r="L15" s="709">
        <f t="shared" si="0"/>
        <v>0</v>
      </c>
      <c r="M15" s="709">
        <f t="shared" ca="1" si="0"/>
        <v>0</v>
      </c>
      <c r="N15" s="709">
        <f t="shared" si="0"/>
        <v>0</v>
      </c>
      <c r="O15" s="709">
        <f t="shared" ca="1" si="0"/>
        <v>172.43011390009681</v>
      </c>
      <c r="P15" s="709">
        <f t="shared" si="0"/>
        <v>18.760000000000002</v>
      </c>
      <c r="Q15" s="710">
        <f t="shared" si="0"/>
        <v>171.6</v>
      </c>
      <c r="R15" s="711">
        <f ca="1">SUM(R9:R14)</f>
        <v>32855.179376166714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90.523232082174587</v>
      </c>
      <c r="I18" s="704">
        <f>transport!H54</f>
        <v>0</v>
      </c>
      <c r="J18" s="704">
        <f>transport!I54</f>
        <v>0</v>
      </c>
      <c r="K18" s="704">
        <f>transport!J54</f>
        <v>0</v>
      </c>
      <c r="L18" s="704">
        <f>transport!K54</f>
        <v>0</v>
      </c>
      <c r="M18" s="704">
        <f>transport!L54</f>
        <v>0</v>
      </c>
      <c r="N18" s="704">
        <f>transport!M54</f>
        <v>4.0257895429502781</v>
      </c>
      <c r="O18" s="704">
        <f>transport!N54</f>
        <v>0</v>
      </c>
      <c r="P18" s="704">
        <f>transport!O54</f>
        <v>0</v>
      </c>
      <c r="Q18" s="705">
        <f>transport!P54</f>
        <v>0</v>
      </c>
      <c r="R18" s="707">
        <f>SUM(C18:Q18)</f>
        <v>94.549021625124865</v>
      </c>
      <c r="S18" s="67"/>
    </row>
    <row r="19" spans="1:19" s="459" customFormat="1" ht="15" thickBot="1">
      <c r="A19" s="858" t="s">
        <v>307</v>
      </c>
      <c r="B19" s="863"/>
      <c r="C19" s="713">
        <f>transport!B14</f>
        <v>0.3421317259961249</v>
      </c>
      <c r="D19" s="713">
        <f>transport!C14</f>
        <v>0</v>
      </c>
      <c r="E19" s="713">
        <f>transport!D14</f>
        <v>0.59017468463024936</v>
      </c>
      <c r="F19" s="713">
        <f>transport!E14</f>
        <v>17.938426773334907</v>
      </c>
      <c r="G19" s="713">
        <f>transport!F14</f>
        <v>0</v>
      </c>
      <c r="H19" s="713">
        <f>transport!G14</f>
        <v>5164.8098208038127</v>
      </c>
      <c r="I19" s="713">
        <f>transport!H14</f>
        <v>880.58335993583842</v>
      </c>
      <c r="J19" s="713">
        <f>transport!I14</f>
        <v>0</v>
      </c>
      <c r="K19" s="713">
        <f>transport!J14</f>
        <v>0</v>
      </c>
      <c r="L19" s="713">
        <f>transport!K14</f>
        <v>0</v>
      </c>
      <c r="M19" s="713">
        <f>transport!L14</f>
        <v>0</v>
      </c>
      <c r="N19" s="713">
        <f>transport!M14</f>
        <v>273.26379084332876</v>
      </c>
      <c r="O19" s="713">
        <f>transport!N14</f>
        <v>0</v>
      </c>
      <c r="P19" s="713">
        <f>transport!O14</f>
        <v>0</v>
      </c>
      <c r="Q19" s="714">
        <f>transport!P14</f>
        <v>0</v>
      </c>
      <c r="R19" s="715">
        <f>SUM(C19:Q19)</f>
        <v>6337.5277047669415</v>
      </c>
      <c r="S19" s="67"/>
    </row>
    <row r="20" spans="1:19" s="459" customFormat="1" ht="15.75" thickBot="1">
      <c r="A20" s="716" t="s">
        <v>230</v>
      </c>
      <c r="B20" s="866"/>
      <c r="C20" s="861">
        <f>SUM(C17:C19)</f>
        <v>0.3421317259961249</v>
      </c>
      <c r="D20" s="717">
        <f t="shared" ref="D20:R20" si="1">SUM(D17:D19)</f>
        <v>0</v>
      </c>
      <c r="E20" s="717">
        <f t="shared" si="1"/>
        <v>0.59017468463024936</v>
      </c>
      <c r="F20" s="717">
        <f t="shared" si="1"/>
        <v>17.938426773334907</v>
      </c>
      <c r="G20" s="717">
        <f t="shared" si="1"/>
        <v>0</v>
      </c>
      <c r="H20" s="717">
        <f t="shared" si="1"/>
        <v>5255.3330528859869</v>
      </c>
      <c r="I20" s="717">
        <f t="shared" si="1"/>
        <v>880.58335993583842</v>
      </c>
      <c r="J20" s="717">
        <f t="shared" si="1"/>
        <v>0</v>
      </c>
      <c r="K20" s="717">
        <f t="shared" si="1"/>
        <v>0</v>
      </c>
      <c r="L20" s="717">
        <f t="shared" si="1"/>
        <v>0</v>
      </c>
      <c r="M20" s="717">
        <f t="shared" si="1"/>
        <v>0</v>
      </c>
      <c r="N20" s="717">
        <f t="shared" si="1"/>
        <v>277.28958038627906</v>
      </c>
      <c r="O20" s="717">
        <f t="shared" si="1"/>
        <v>0</v>
      </c>
      <c r="P20" s="717">
        <f t="shared" si="1"/>
        <v>0</v>
      </c>
      <c r="Q20" s="718">
        <f t="shared" si="1"/>
        <v>0</v>
      </c>
      <c r="R20" s="719">
        <f t="shared" si="1"/>
        <v>6432.0767263920661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981.90106619492838</v>
      </c>
      <c r="D22" s="713">
        <f>+landbouw!C8</f>
        <v>0</v>
      </c>
      <c r="E22" s="713">
        <f>+landbouw!D8</f>
        <v>1254.1207048894969</v>
      </c>
      <c r="F22" s="713">
        <f>+landbouw!E8</f>
        <v>12.373218379818859</v>
      </c>
      <c r="G22" s="713">
        <f>+landbouw!F8</f>
        <v>3387.8046592875471</v>
      </c>
      <c r="H22" s="713">
        <f>+landbouw!G8</f>
        <v>0</v>
      </c>
      <c r="I22" s="713">
        <f>+landbouw!H8</f>
        <v>0</v>
      </c>
      <c r="J22" s="713">
        <f>+landbouw!I8</f>
        <v>0</v>
      </c>
      <c r="K22" s="713">
        <f>+landbouw!J8</f>
        <v>147.66675849833535</v>
      </c>
      <c r="L22" s="713">
        <f>+landbouw!K8</f>
        <v>0</v>
      </c>
      <c r="M22" s="713">
        <f>+landbouw!L8</f>
        <v>0</v>
      </c>
      <c r="N22" s="713">
        <f>+landbouw!M8</f>
        <v>0</v>
      </c>
      <c r="O22" s="713">
        <f>+landbouw!N8</f>
        <v>0</v>
      </c>
      <c r="P22" s="713">
        <f>+landbouw!O8</f>
        <v>0</v>
      </c>
      <c r="Q22" s="714">
        <f>+landbouw!P8</f>
        <v>0</v>
      </c>
      <c r="R22" s="715">
        <f>SUM(C22:Q22)</f>
        <v>5783.8664072501269</v>
      </c>
      <c r="S22" s="67"/>
    </row>
    <row r="23" spans="1:19" s="459" customFormat="1" ht="17.25" thickTop="1" thickBot="1">
      <c r="A23" s="720" t="s">
        <v>116</v>
      </c>
      <c r="B23" s="852"/>
      <c r="C23" s="721">
        <f ca="1">C20+C15+C22</f>
        <v>9404.5810360393334</v>
      </c>
      <c r="D23" s="721">
        <f t="shared" ref="D23:Q23" ca="1" si="2">D20+D15+D22</f>
        <v>0</v>
      </c>
      <c r="E23" s="721">
        <f t="shared" ca="1" si="2"/>
        <v>24525.342920428124</v>
      </c>
      <c r="F23" s="721">
        <f t="shared" si="2"/>
        <v>117.6430081984488</v>
      </c>
      <c r="G23" s="721">
        <f t="shared" ca="1" si="2"/>
        <v>4099.2109891600512</v>
      </c>
      <c r="H23" s="721">
        <f t="shared" si="2"/>
        <v>5255.3330528859869</v>
      </c>
      <c r="I23" s="721">
        <f t="shared" si="2"/>
        <v>880.58335993583842</v>
      </c>
      <c r="J23" s="721">
        <f t="shared" si="2"/>
        <v>0</v>
      </c>
      <c r="K23" s="721">
        <f t="shared" si="2"/>
        <v>148.34844887474449</v>
      </c>
      <c r="L23" s="721">
        <f t="shared" si="2"/>
        <v>0</v>
      </c>
      <c r="M23" s="721">
        <f t="shared" ca="1" si="2"/>
        <v>0</v>
      </c>
      <c r="N23" s="721">
        <f t="shared" si="2"/>
        <v>277.28958038627906</v>
      </c>
      <c r="O23" s="721">
        <f t="shared" ca="1" si="2"/>
        <v>172.43011390009681</v>
      </c>
      <c r="P23" s="721">
        <f t="shared" si="2"/>
        <v>18.760000000000002</v>
      </c>
      <c r="Q23" s="722">
        <f t="shared" si="2"/>
        <v>171.6</v>
      </c>
      <c r="R23" s="723">
        <f ca="1">R20+R15+R22</f>
        <v>45071.122509808905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662.37968876742616</v>
      </c>
      <c r="D36" s="704">
        <f ca="1">tertiair!C20</f>
        <v>0</v>
      </c>
      <c r="E36" s="704">
        <f ca="1">tertiair!D20</f>
        <v>61.922252769211987</v>
      </c>
      <c r="F36" s="704">
        <f>tertiair!E20</f>
        <v>12.784995543523532</v>
      </c>
      <c r="G36" s="704">
        <f ca="1">tertiair!F20</f>
        <v>162.62575301042469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899.71269009058642</v>
      </c>
    </row>
    <row r="37" spans="1:18">
      <c r="A37" s="873" t="s">
        <v>225</v>
      </c>
      <c r="B37" s="880"/>
      <c r="C37" s="704">
        <f ca="1">huishoudens!B12</f>
        <v>1007.3908448942409</v>
      </c>
      <c r="D37" s="704">
        <f ca="1">huishoudens!C12</f>
        <v>0</v>
      </c>
      <c r="E37" s="704">
        <f>huishoudens!D12</f>
        <v>4638.7454194832962</v>
      </c>
      <c r="F37" s="704">
        <f>huishoudens!E12</f>
        <v>0</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5646.1362643775374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67.172120343227007</v>
      </c>
      <c r="D39" s="704">
        <f ca="1">industrie!C22</f>
        <v>0</v>
      </c>
      <c r="E39" s="704">
        <f>industrie!D22</f>
        <v>0</v>
      </c>
      <c r="F39" s="704">
        <f>industrie!E22</f>
        <v>7.0392238677584418</v>
      </c>
      <c r="G39" s="704">
        <f>industrie!F22</f>
        <v>27.319737065533953</v>
      </c>
      <c r="H39" s="704">
        <f>industrie!G22</f>
        <v>0</v>
      </c>
      <c r="I39" s="704">
        <f>industrie!H22</f>
        <v>0</v>
      </c>
      <c r="J39" s="704">
        <f>industrie!I22</f>
        <v>0</v>
      </c>
      <c r="K39" s="704">
        <f>industrie!J22</f>
        <v>0.24131839324883633</v>
      </c>
      <c r="L39" s="704">
        <f>industrie!K22</f>
        <v>0</v>
      </c>
      <c r="M39" s="704">
        <f>industrie!L22</f>
        <v>0</v>
      </c>
      <c r="N39" s="704">
        <f>industrie!M22</f>
        <v>0</v>
      </c>
      <c r="O39" s="704">
        <f>industrie!N22</f>
        <v>0</v>
      </c>
      <c r="P39" s="704">
        <f>industrie!O22</f>
        <v>0</v>
      </c>
      <c r="Q39" s="814">
        <f>industrie!P22</f>
        <v>0</v>
      </c>
      <c r="R39" s="906">
        <f ca="1">SUM(C39:Q39)</f>
        <v>101.77239966976823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1736.9426540048942</v>
      </c>
      <c r="D41" s="749">
        <f t="shared" ref="D41:R41" ca="1" si="4">SUM(D35:D40)</f>
        <v>0</v>
      </c>
      <c r="E41" s="749">
        <f t="shared" ca="1" si="4"/>
        <v>4700.6676722525081</v>
      </c>
      <c r="F41" s="749">
        <f t="shared" si="4"/>
        <v>19.824219411281973</v>
      </c>
      <c r="G41" s="749">
        <f t="shared" ca="1" si="4"/>
        <v>189.94549007595865</v>
      </c>
      <c r="H41" s="749">
        <f t="shared" si="4"/>
        <v>0</v>
      </c>
      <c r="I41" s="749">
        <f t="shared" si="4"/>
        <v>0</v>
      </c>
      <c r="J41" s="749">
        <f t="shared" si="4"/>
        <v>0</v>
      </c>
      <c r="K41" s="749">
        <f t="shared" si="4"/>
        <v>0.24131839324883633</v>
      </c>
      <c r="L41" s="749">
        <f t="shared" si="4"/>
        <v>0</v>
      </c>
      <c r="M41" s="749">
        <f t="shared" ca="1" si="4"/>
        <v>0</v>
      </c>
      <c r="N41" s="749">
        <f t="shared" si="4"/>
        <v>0</v>
      </c>
      <c r="O41" s="749">
        <f t="shared" ca="1" si="4"/>
        <v>0</v>
      </c>
      <c r="P41" s="749">
        <f t="shared" si="4"/>
        <v>0</v>
      </c>
      <c r="Q41" s="750">
        <f t="shared" si="4"/>
        <v>0</v>
      </c>
      <c r="R41" s="751">
        <f t="shared" ca="1" si="4"/>
        <v>6647.621354137892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24.169702965940616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24.169702965940616</v>
      </c>
    </row>
    <row r="45" spans="1:18" ht="15" thickBot="1">
      <c r="A45" s="876" t="s">
        <v>307</v>
      </c>
      <c r="B45" s="886"/>
      <c r="C45" s="713">
        <f ca="1">transport!B18</f>
        <v>7.055798515721208E-2</v>
      </c>
      <c r="D45" s="713">
        <f>transport!C18</f>
        <v>0</v>
      </c>
      <c r="E45" s="713">
        <f>transport!D18</f>
        <v>0.11921528629531038</v>
      </c>
      <c r="F45" s="713">
        <f>transport!E18</f>
        <v>4.072022877547024</v>
      </c>
      <c r="G45" s="713">
        <f>transport!F18</f>
        <v>0</v>
      </c>
      <c r="H45" s="713">
        <f>transport!G18</f>
        <v>1379.004222154618</v>
      </c>
      <c r="I45" s="713">
        <f>transport!H18</f>
        <v>219.26525662402378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1602.5312749276413</v>
      </c>
    </row>
    <row r="46" spans="1:18" ht="15.75" thickBot="1">
      <c r="A46" s="874" t="s">
        <v>230</v>
      </c>
      <c r="B46" s="887"/>
      <c r="C46" s="749">
        <f t="shared" ref="C46:R46" ca="1" si="5">SUM(C43:C45)</f>
        <v>7.055798515721208E-2</v>
      </c>
      <c r="D46" s="749">
        <f t="shared" ca="1" si="5"/>
        <v>0</v>
      </c>
      <c r="E46" s="749">
        <f t="shared" si="5"/>
        <v>0.11921528629531038</v>
      </c>
      <c r="F46" s="749">
        <f t="shared" si="5"/>
        <v>4.072022877547024</v>
      </c>
      <c r="G46" s="749">
        <f t="shared" si="5"/>
        <v>0</v>
      </c>
      <c r="H46" s="749">
        <f t="shared" si="5"/>
        <v>1403.1739251205586</v>
      </c>
      <c r="I46" s="749">
        <f t="shared" si="5"/>
        <v>219.26525662402378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1626.7009778935819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202.49791407890999</v>
      </c>
      <c r="D48" s="704">
        <f ca="1">+landbouw!C12</f>
        <v>0</v>
      </c>
      <c r="E48" s="704">
        <f>+landbouw!D12</f>
        <v>253.33238238767839</v>
      </c>
      <c r="F48" s="704">
        <f>+landbouw!E12</f>
        <v>2.8087205722188808</v>
      </c>
      <c r="G48" s="704">
        <f>+landbouw!F12</f>
        <v>904.54384402977507</v>
      </c>
      <c r="H48" s="704">
        <f>+landbouw!G12</f>
        <v>0</v>
      </c>
      <c r="I48" s="704">
        <f>+landbouw!H12</f>
        <v>0</v>
      </c>
      <c r="J48" s="704">
        <f>+landbouw!I12</f>
        <v>0</v>
      </c>
      <c r="K48" s="704">
        <f>+landbouw!J12</f>
        <v>52.274032508410713</v>
      </c>
      <c r="L48" s="704">
        <f>+landbouw!K12</f>
        <v>0</v>
      </c>
      <c r="M48" s="704">
        <f>+landbouw!L12</f>
        <v>0</v>
      </c>
      <c r="N48" s="704">
        <f>+landbouw!M12</f>
        <v>0</v>
      </c>
      <c r="O48" s="704">
        <f>+landbouw!N12</f>
        <v>0</v>
      </c>
      <c r="P48" s="704">
        <f>+landbouw!O12</f>
        <v>0</v>
      </c>
      <c r="Q48" s="705">
        <f>+landbouw!P12</f>
        <v>0</v>
      </c>
      <c r="R48" s="747">
        <f ca="1">SUM(C48:Q48)</f>
        <v>1415.456893576993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1939.5111260689614</v>
      </c>
      <c r="D53" s="759">
        <f t="shared" ref="D53:Q53" ca="1" si="6">D41+D46+D48</f>
        <v>0</v>
      </c>
      <c r="E53" s="759">
        <f t="shared" ca="1" si="6"/>
        <v>4954.1192699264811</v>
      </c>
      <c r="F53" s="759">
        <f t="shared" si="6"/>
        <v>26.704962861047878</v>
      </c>
      <c r="G53" s="759">
        <f t="shared" ca="1" si="6"/>
        <v>1094.4893341057336</v>
      </c>
      <c r="H53" s="759">
        <f t="shared" si="6"/>
        <v>1403.1739251205586</v>
      </c>
      <c r="I53" s="759">
        <f t="shared" si="6"/>
        <v>219.26525662402378</v>
      </c>
      <c r="J53" s="759">
        <f t="shared" si="6"/>
        <v>0</v>
      </c>
      <c r="K53" s="759">
        <f t="shared" si="6"/>
        <v>52.515350901659552</v>
      </c>
      <c r="L53" s="759">
        <f t="shared" si="6"/>
        <v>0</v>
      </c>
      <c r="M53" s="759">
        <f t="shared" ca="1" si="6"/>
        <v>0</v>
      </c>
      <c r="N53" s="759">
        <f t="shared" si="6"/>
        <v>0</v>
      </c>
      <c r="O53" s="759">
        <f t="shared" ca="1" si="6"/>
        <v>0</v>
      </c>
      <c r="P53" s="759">
        <f>P41+P46+P48</f>
        <v>0</v>
      </c>
      <c r="Q53" s="760">
        <f t="shared" si="6"/>
        <v>0</v>
      </c>
      <c r="R53" s="761">
        <f ca="1">R41+R46+R48</f>
        <v>9689.7792256084667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0.20623046562484312</v>
      </c>
      <c r="D55" s="824">
        <f t="shared" ca="1" si="7"/>
        <v>0</v>
      </c>
      <c r="E55" s="824">
        <f t="shared" ca="1" si="7"/>
        <v>0.20200000000000001</v>
      </c>
      <c r="F55" s="824">
        <f t="shared" si="7"/>
        <v>0.22700000000000001</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628.51259228837739</v>
      </c>
      <c r="C66" s="781">
        <f>'lokale energieproductie'!B6</f>
        <v>628.51259228837739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628.51259228837739</v>
      </c>
      <c r="C69" s="789">
        <f>SUM(C64:C68)</f>
        <v>628.51259228837739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4884.7818960308241</v>
      </c>
      <c r="C4" s="463">
        <f>huishoudens!C8</f>
        <v>0</v>
      </c>
      <c r="D4" s="463">
        <f>huishoudens!D8</f>
        <v>22964.086235065821</v>
      </c>
      <c r="E4" s="463">
        <f>huishoudens!E8</f>
        <v>0</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0</v>
      </c>
      <c r="O4" s="463">
        <f>huishoudens!O8</f>
        <v>18.760000000000002</v>
      </c>
      <c r="P4" s="464">
        <f>huishoudens!P8</f>
        <v>171.6</v>
      </c>
      <c r="Q4" s="465">
        <f>SUM(B4:P4)</f>
        <v>28039.228131096643</v>
      </c>
    </row>
    <row r="5" spans="1:17">
      <c r="A5" s="462" t="s">
        <v>156</v>
      </c>
      <c r="B5" s="463">
        <f ca="1">tertiair!B16</f>
        <v>3037.3910853123161</v>
      </c>
      <c r="C5" s="463">
        <f ca="1">tertiair!C16</f>
        <v>0</v>
      </c>
      <c r="D5" s="463">
        <f ca="1">tertiair!D16</f>
        <v>306.54580578817814</v>
      </c>
      <c r="E5" s="463">
        <f>tertiair!E16</f>
        <v>56.321566271028772</v>
      </c>
      <c r="F5" s="463">
        <f ca="1">tertiair!F16</f>
        <v>609.08521726750814</v>
      </c>
      <c r="G5" s="463">
        <f>tertiair!G16</f>
        <v>0</v>
      </c>
      <c r="H5" s="463">
        <f>tertiair!H16</f>
        <v>0</v>
      </c>
      <c r="I5" s="463">
        <f>tertiair!I16</f>
        <v>0</v>
      </c>
      <c r="J5" s="463">
        <f>tertiair!J16</f>
        <v>0</v>
      </c>
      <c r="K5" s="463">
        <f>tertiair!K16</f>
        <v>0</v>
      </c>
      <c r="L5" s="463">
        <f ca="1">tertiair!L16</f>
        <v>0</v>
      </c>
      <c r="M5" s="463">
        <f>tertiair!M16</f>
        <v>0</v>
      </c>
      <c r="N5" s="463">
        <f ca="1">tertiair!N16</f>
        <v>100.72691384581833</v>
      </c>
      <c r="O5" s="463">
        <f>tertiair!O16</f>
        <v>0</v>
      </c>
      <c r="P5" s="464">
        <f>tertiair!P16</f>
        <v>0</v>
      </c>
      <c r="Q5" s="462">
        <f t="shared" ref="Q5:Q13" ca="1" si="0">SUM(B5:P5)</f>
        <v>4110.0705884848494</v>
      </c>
    </row>
    <row r="6" spans="1:17">
      <c r="A6" s="462" t="s">
        <v>194</v>
      </c>
      <c r="B6" s="463">
        <f>'openbare verlichting'!B8</f>
        <v>174.45099999999999</v>
      </c>
      <c r="C6" s="463"/>
      <c r="D6" s="463"/>
      <c r="E6" s="463"/>
      <c r="F6" s="463"/>
      <c r="G6" s="463"/>
      <c r="H6" s="463"/>
      <c r="I6" s="463"/>
      <c r="J6" s="463"/>
      <c r="K6" s="463"/>
      <c r="L6" s="463"/>
      <c r="M6" s="463"/>
      <c r="N6" s="463"/>
      <c r="O6" s="463"/>
      <c r="P6" s="464"/>
      <c r="Q6" s="462">
        <f t="shared" si="0"/>
        <v>174.45099999999999</v>
      </c>
    </row>
    <row r="7" spans="1:17">
      <c r="A7" s="462" t="s">
        <v>112</v>
      </c>
      <c r="B7" s="463">
        <f>landbouw!B8</f>
        <v>981.90106619492838</v>
      </c>
      <c r="C7" s="463">
        <f>landbouw!C8</f>
        <v>0</v>
      </c>
      <c r="D7" s="463">
        <f>landbouw!D8</f>
        <v>1254.1207048894969</v>
      </c>
      <c r="E7" s="463">
        <f>landbouw!E8</f>
        <v>12.373218379818859</v>
      </c>
      <c r="F7" s="463">
        <f>landbouw!F8</f>
        <v>3387.8046592875471</v>
      </c>
      <c r="G7" s="463">
        <f>landbouw!G8</f>
        <v>0</v>
      </c>
      <c r="H7" s="463">
        <f>landbouw!H8</f>
        <v>0</v>
      </c>
      <c r="I7" s="463">
        <f>landbouw!I8</f>
        <v>0</v>
      </c>
      <c r="J7" s="463">
        <f>landbouw!J8</f>
        <v>147.66675849833535</v>
      </c>
      <c r="K7" s="463">
        <f>landbouw!K8</f>
        <v>0</v>
      </c>
      <c r="L7" s="463">
        <f>landbouw!L8</f>
        <v>0</v>
      </c>
      <c r="M7" s="463">
        <f>landbouw!M8</f>
        <v>0</v>
      </c>
      <c r="N7" s="463">
        <f>landbouw!N8</f>
        <v>0</v>
      </c>
      <c r="O7" s="463">
        <f>landbouw!O8</f>
        <v>0</v>
      </c>
      <c r="P7" s="464">
        <f>landbouw!P8</f>
        <v>0</v>
      </c>
      <c r="Q7" s="462">
        <f t="shared" si="0"/>
        <v>5783.8664072501269</v>
      </c>
    </row>
    <row r="8" spans="1:17">
      <c r="A8" s="462" t="s">
        <v>657</v>
      </c>
      <c r="B8" s="463">
        <f>industrie!B18</f>
        <v>325.71385677526808</v>
      </c>
      <c r="C8" s="463">
        <f>industrie!C18</f>
        <v>0</v>
      </c>
      <c r="D8" s="463">
        <f>industrie!D18</f>
        <v>0</v>
      </c>
      <c r="E8" s="463">
        <f>industrie!E18</f>
        <v>31.009796774266263</v>
      </c>
      <c r="F8" s="463">
        <f>industrie!F18</f>
        <v>102.32111260499607</v>
      </c>
      <c r="G8" s="463">
        <f>industrie!G18</f>
        <v>0</v>
      </c>
      <c r="H8" s="463">
        <f>industrie!H18</f>
        <v>0</v>
      </c>
      <c r="I8" s="463">
        <f>industrie!I18</f>
        <v>0</v>
      </c>
      <c r="J8" s="463">
        <f>industrie!J18</f>
        <v>0.68169037640914221</v>
      </c>
      <c r="K8" s="463">
        <f>industrie!K18</f>
        <v>0</v>
      </c>
      <c r="L8" s="463">
        <f>industrie!L18</f>
        <v>0</v>
      </c>
      <c r="M8" s="463">
        <f>industrie!M18</f>
        <v>0</v>
      </c>
      <c r="N8" s="463">
        <f>industrie!N18</f>
        <v>71.703200054278483</v>
      </c>
      <c r="O8" s="463">
        <f>industrie!O18</f>
        <v>0</v>
      </c>
      <c r="P8" s="464">
        <f>industrie!P18</f>
        <v>0</v>
      </c>
      <c r="Q8" s="462">
        <f t="shared" si="0"/>
        <v>531.42965658521803</v>
      </c>
    </row>
    <row r="9" spans="1:17" s="468" customFormat="1">
      <c r="A9" s="466" t="s">
        <v>574</v>
      </c>
      <c r="B9" s="467">
        <f>transport!B14</f>
        <v>0.3421317259961249</v>
      </c>
      <c r="C9" s="467"/>
      <c r="D9" s="467">
        <f>transport!D14</f>
        <v>0.59017468463024936</v>
      </c>
      <c r="E9" s="467">
        <f>transport!E14</f>
        <v>17.938426773334907</v>
      </c>
      <c r="F9" s="467"/>
      <c r="G9" s="467">
        <f>transport!G14</f>
        <v>5164.8098208038127</v>
      </c>
      <c r="H9" s="467">
        <f>transport!H14</f>
        <v>880.58335993583842</v>
      </c>
      <c r="I9" s="467"/>
      <c r="J9" s="467"/>
      <c r="K9" s="467"/>
      <c r="L9" s="467"/>
      <c r="M9" s="467">
        <f>transport!M14</f>
        <v>273.26379084332876</v>
      </c>
      <c r="N9" s="467"/>
      <c r="O9" s="467"/>
      <c r="P9" s="467"/>
      <c r="Q9" s="466">
        <f>SUM(B9:P9)</f>
        <v>6337.5277047669415</v>
      </c>
    </row>
    <row r="10" spans="1:17">
      <c r="A10" s="462" t="s">
        <v>564</v>
      </c>
      <c r="B10" s="463">
        <f>transport!B54</f>
        <v>0</v>
      </c>
      <c r="C10" s="463"/>
      <c r="D10" s="463">
        <f>transport!D54</f>
        <v>0</v>
      </c>
      <c r="E10" s="463"/>
      <c r="F10" s="463"/>
      <c r="G10" s="463">
        <f>transport!G54</f>
        <v>90.523232082174587</v>
      </c>
      <c r="H10" s="463"/>
      <c r="I10" s="463"/>
      <c r="J10" s="463"/>
      <c r="K10" s="463"/>
      <c r="L10" s="463"/>
      <c r="M10" s="463">
        <f>transport!M54</f>
        <v>4.0257895429502781</v>
      </c>
      <c r="N10" s="463"/>
      <c r="O10" s="463"/>
      <c r="P10" s="464"/>
      <c r="Q10" s="462">
        <f t="shared" si="0"/>
        <v>94.549021625124865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9404.5810360393334</v>
      </c>
      <c r="C14" s="473">
        <f t="shared" ref="C14:Q14" ca="1" si="1">SUM(C4:C13)</f>
        <v>0</v>
      </c>
      <c r="D14" s="473">
        <f t="shared" ca="1" si="1"/>
        <v>24525.342920428124</v>
      </c>
      <c r="E14" s="473">
        <f t="shared" si="1"/>
        <v>117.6430081984488</v>
      </c>
      <c r="F14" s="473">
        <f t="shared" ca="1" si="1"/>
        <v>4099.2109891600512</v>
      </c>
      <c r="G14" s="473">
        <f t="shared" si="1"/>
        <v>5255.3330528859869</v>
      </c>
      <c r="H14" s="473">
        <f t="shared" si="1"/>
        <v>880.58335993583842</v>
      </c>
      <c r="I14" s="473">
        <f t="shared" si="1"/>
        <v>0</v>
      </c>
      <c r="J14" s="473">
        <f t="shared" si="1"/>
        <v>148.34844887474449</v>
      </c>
      <c r="K14" s="473">
        <f t="shared" si="1"/>
        <v>0</v>
      </c>
      <c r="L14" s="473">
        <f t="shared" ca="1" si="1"/>
        <v>0</v>
      </c>
      <c r="M14" s="473">
        <f t="shared" si="1"/>
        <v>277.28958038627906</v>
      </c>
      <c r="N14" s="473">
        <f t="shared" ca="1" si="1"/>
        <v>172.43011390009681</v>
      </c>
      <c r="O14" s="473">
        <f t="shared" si="1"/>
        <v>18.760000000000002</v>
      </c>
      <c r="P14" s="474">
        <f t="shared" si="1"/>
        <v>171.6</v>
      </c>
      <c r="Q14" s="474">
        <f t="shared" ca="1" si="1"/>
        <v>45071.122509808913</v>
      </c>
    </row>
    <row r="16" spans="1:17">
      <c r="A16" s="476" t="s">
        <v>569</v>
      </c>
      <c r="B16" s="829">
        <f ca="1">huishoudens!B10</f>
        <v>0.20623046562484312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1007.3908448942409</v>
      </c>
      <c r="C21" s="463">
        <f t="shared" ref="C21:C28" ca="1" si="3">C4*$C$16</f>
        <v>0</v>
      </c>
      <c r="D21" s="463">
        <f t="shared" ref="D21:D30" si="4">D4*$D$16</f>
        <v>4638.7454194832962</v>
      </c>
      <c r="E21" s="463">
        <f t="shared" ref="E21:E30" si="5">E4*$E$16</f>
        <v>0</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5646.1362643775374</v>
      </c>
    </row>
    <row r="22" spans="1:17">
      <c r="A22" s="462" t="s">
        <v>156</v>
      </c>
      <c r="B22" s="463">
        <f t="shared" ca="1" si="2"/>
        <v>626.40257780870661</v>
      </c>
      <c r="C22" s="463">
        <f t="shared" ca="1" si="3"/>
        <v>0</v>
      </c>
      <c r="D22" s="463">
        <f t="shared" ca="1" si="4"/>
        <v>61.922252769211987</v>
      </c>
      <c r="E22" s="463">
        <f t="shared" si="5"/>
        <v>12.784995543523532</v>
      </c>
      <c r="F22" s="463">
        <f t="shared" ca="1" si="6"/>
        <v>162.62575301042469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863.73557913186687</v>
      </c>
    </row>
    <row r="23" spans="1:17">
      <c r="A23" s="462" t="s">
        <v>194</v>
      </c>
      <c r="B23" s="463">
        <f t="shared" ca="1" si="2"/>
        <v>35.977110958719507</v>
      </c>
      <c r="C23" s="463"/>
      <c r="D23" s="463"/>
      <c r="E23" s="463"/>
      <c r="F23" s="463"/>
      <c r="G23" s="463"/>
      <c r="H23" s="463"/>
      <c r="I23" s="463"/>
      <c r="J23" s="463"/>
      <c r="K23" s="463"/>
      <c r="L23" s="463"/>
      <c r="M23" s="463"/>
      <c r="N23" s="463"/>
      <c r="O23" s="463"/>
      <c r="P23" s="464"/>
      <c r="Q23" s="462">
        <f t="shared" ca="1" si="17"/>
        <v>35.977110958719507</v>
      </c>
    </row>
    <row r="24" spans="1:17">
      <c r="A24" s="462" t="s">
        <v>112</v>
      </c>
      <c r="B24" s="463">
        <f t="shared" ca="1" si="2"/>
        <v>202.49791407890999</v>
      </c>
      <c r="C24" s="463">
        <f t="shared" ca="1" si="3"/>
        <v>0</v>
      </c>
      <c r="D24" s="463">
        <f t="shared" si="4"/>
        <v>253.33238238767839</v>
      </c>
      <c r="E24" s="463">
        <f t="shared" si="5"/>
        <v>2.8087205722188808</v>
      </c>
      <c r="F24" s="463">
        <f t="shared" si="6"/>
        <v>904.54384402977507</v>
      </c>
      <c r="G24" s="463">
        <f t="shared" si="7"/>
        <v>0</v>
      </c>
      <c r="H24" s="463">
        <f t="shared" si="8"/>
        <v>0</v>
      </c>
      <c r="I24" s="463">
        <f t="shared" si="9"/>
        <v>0</v>
      </c>
      <c r="J24" s="463">
        <f t="shared" si="10"/>
        <v>52.274032508410713</v>
      </c>
      <c r="K24" s="463">
        <f t="shared" si="11"/>
        <v>0</v>
      </c>
      <c r="L24" s="463">
        <f t="shared" si="12"/>
        <v>0</v>
      </c>
      <c r="M24" s="463">
        <f t="shared" si="13"/>
        <v>0</v>
      </c>
      <c r="N24" s="463">
        <f t="shared" si="14"/>
        <v>0</v>
      </c>
      <c r="O24" s="463">
        <f t="shared" si="15"/>
        <v>0</v>
      </c>
      <c r="P24" s="464">
        <f t="shared" si="16"/>
        <v>0</v>
      </c>
      <c r="Q24" s="462">
        <f t="shared" ca="1" si="17"/>
        <v>1415.456893576993</v>
      </c>
    </row>
    <row r="25" spans="1:17">
      <c r="A25" s="462" t="s">
        <v>657</v>
      </c>
      <c r="B25" s="463">
        <f t="shared" ca="1" si="2"/>
        <v>67.172120343227007</v>
      </c>
      <c r="C25" s="463">
        <f t="shared" ca="1" si="3"/>
        <v>0</v>
      </c>
      <c r="D25" s="463">
        <f t="shared" si="4"/>
        <v>0</v>
      </c>
      <c r="E25" s="463">
        <f t="shared" si="5"/>
        <v>7.0392238677584418</v>
      </c>
      <c r="F25" s="463">
        <f t="shared" si="6"/>
        <v>27.319737065533953</v>
      </c>
      <c r="G25" s="463">
        <f t="shared" si="7"/>
        <v>0</v>
      </c>
      <c r="H25" s="463">
        <f t="shared" si="8"/>
        <v>0</v>
      </c>
      <c r="I25" s="463">
        <f t="shared" si="9"/>
        <v>0</v>
      </c>
      <c r="J25" s="463">
        <f t="shared" si="10"/>
        <v>0.24131839324883633</v>
      </c>
      <c r="K25" s="463">
        <f t="shared" si="11"/>
        <v>0</v>
      </c>
      <c r="L25" s="463">
        <f t="shared" si="12"/>
        <v>0</v>
      </c>
      <c r="M25" s="463">
        <f t="shared" si="13"/>
        <v>0</v>
      </c>
      <c r="N25" s="463">
        <f t="shared" si="14"/>
        <v>0</v>
      </c>
      <c r="O25" s="463">
        <f t="shared" si="15"/>
        <v>0</v>
      </c>
      <c r="P25" s="464">
        <f t="shared" si="16"/>
        <v>0</v>
      </c>
      <c r="Q25" s="462">
        <f t="shared" ca="1" si="17"/>
        <v>101.77239966976823</v>
      </c>
    </row>
    <row r="26" spans="1:17" s="468" customFormat="1">
      <c r="A26" s="466" t="s">
        <v>574</v>
      </c>
      <c r="B26" s="823">
        <f t="shared" ca="1" si="2"/>
        <v>7.055798515721208E-2</v>
      </c>
      <c r="C26" s="467"/>
      <c r="D26" s="467">
        <f t="shared" si="4"/>
        <v>0.11921528629531038</v>
      </c>
      <c r="E26" s="467">
        <f t="shared" si="5"/>
        <v>4.072022877547024</v>
      </c>
      <c r="F26" s="467"/>
      <c r="G26" s="467">
        <f t="shared" si="7"/>
        <v>1379.004222154618</v>
      </c>
      <c r="H26" s="467">
        <f t="shared" si="8"/>
        <v>219.26525662402378</v>
      </c>
      <c r="I26" s="467"/>
      <c r="J26" s="467"/>
      <c r="K26" s="467"/>
      <c r="L26" s="467"/>
      <c r="M26" s="467">
        <f t="shared" si="13"/>
        <v>0</v>
      </c>
      <c r="N26" s="467"/>
      <c r="O26" s="467"/>
      <c r="P26" s="478"/>
      <c r="Q26" s="466">
        <f t="shared" ca="1" si="17"/>
        <v>1602.5312749276413</v>
      </c>
    </row>
    <row r="27" spans="1:17">
      <c r="A27" s="462" t="s">
        <v>564</v>
      </c>
      <c r="B27" s="463">
        <f t="shared" ca="1" si="2"/>
        <v>0</v>
      </c>
      <c r="C27" s="463"/>
      <c r="D27" s="467">
        <f t="shared" si="4"/>
        <v>0</v>
      </c>
      <c r="E27" s="463"/>
      <c r="F27" s="463"/>
      <c r="G27" s="463">
        <f t="shared" si="7"/>
        <v>24.169702965940616</v>
      </c>
      <c r="H27" s="463"/>
      <c r="I27" s="463"/>
      <c r="J27" s="463"/>
      <c r="K27" s="463"/>
      <c r="L27" s="463"/>
      <c r="M27" s="463">
        <f t="shared" si="13"/>
        <v>0</v>
      </c>
      <c r="N27" s="463"/>
      <c r="O27" s="463"/>
      <c r="P27" s="464"/>
      <c r="Q27" s="462">
        <f t="shared" ca="1" si="17"/>
        <v>24.169702965940616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1939.5111260689614</v>
      </c>
      <c r="C31" s="473">
        <f t="shared" ca="1" si="18"/>
        <v>0</v>
      </c>
      <c r="D31" s="473">
        <f t="shared" ca="1" si="18"/>
        <v>4954.1192699264811</v>
      </c>
      <c r="E31" s="473">
        <f t="shared" si="18"/>
        <v>26.704962861047878</v>
      </c>
      <c r="F31" s="473">
        <f t="shared" ca="1" si="18"/>
        <v>1094.4893341057336</v>
      </c>
      <c r="G31" s="473">
        <f t="shared" si="18"/>
        <v>1403.1739251205586</v>
      </c>
      <c r="H31" s="473">
        <f t="shared" si="18"/>
        <v>219.26525662402378</v>
      </c>
      <c r="I31" s="473">
        <f t="shared" si="18"/>
        <v>0</v>
      </c>
      <c r="J31" s="473">
        <f t="shared" si="18"/>
        <v>52.515350901659552</v>
      </c>
      <c r="K31" s="473">
        <f t="shared" si="18"/>
        <v>0</v>
      </c>
      <c r="L31" s="473">
        <f t="shared" ca="1" si="18"/>
        <v>0</v>
      </c>
      <c r="M31" s="473">
        <f t="shared" si="18"/>
        <v>0</v>
      </c>
      <c r="N31" s="473">
        <f t="shared" ca="1" si="18"/>
        <v>0</v>
      </c>
      <c r="O31" s="473">
        <f t="shared" si="18"/>
        <v>0</v>
      </c>
      <c r="P31" s="474">
        <f t="shared" si="18"/>
        <v>0</v>
      </c>
      <c r="Q31" s="474">
        <f t="shared" ca="1" si="18"/>
        <v>9689.7792256084667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0.20623046562484312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0.20623046562484312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0.20623046562484312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2019-01-02T18:02:18Z</dcterms:modified>
</cp:coreProperties>
</file>