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<sst xmlns="http://schemas.openxmlformats.org/spreadsheetml/2006/main" count="2151" uniqueCount="878">
  <si>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</si>
  <si>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</si>
  <si>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</si>
  <si>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</si>
  <si>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</si>
  <si>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</si>
  <si>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</si>
  <si>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</si>
  <si>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</si>
  <si>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</si>
  <si>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</si>
  <si>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</si>
  <si>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</si>
  <si>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</si>
  <si>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</si>
  <si>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</si>
  <si>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</si>
  <si>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</si>
  <si>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</si>
  <si>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</si>
  <si>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</si>
  <si>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</si>
  <si>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</si>
  <si>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</si>
  <si>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</si>
  <si>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</si>
  <si>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</si>
  <si>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</si>
  <si>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</si>
  <si>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</si>
  <si>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</si>
  <si>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</si>
  <si>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</si>
  <si>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</si>
  <si>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</si>
  <si>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</si>
  <si>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</si>
  <si>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</si>
  <si>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</si>
  <si>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</si>
  <si>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</si>
  <si>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</si>
  <si>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</si>
  <si>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</si>
  <si>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</si>
  <si>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</si>
  <si>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</si>
  <si>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</si>
  <si>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</si>
  <si>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</si>
  <si>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</si>
  <si>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</si>
  <si>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</si>
  <si>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</si>
  <si>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</si>
  <si>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</si>
  <si>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</si>
  <si>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</si>
  <si>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</si>
  <si>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</si>
  <si>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</si>
  <si>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</si>
  <si>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</si>
  <si>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</si>
  <si>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</si>
  <si>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</si>
  <si>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</si>
  <si>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</si>
  <si>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</si>
  <si>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</si>
  <si>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</si>
  <si>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</si>
  <si>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</si>
  <si>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</si>
  <si>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</si>
  <si>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</si>
  <si>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</si>
  <si>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</si>
  <si>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</si>
  <si>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</si>
  <si>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</si>
  <si>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</si>
  <si>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</si>
  <si>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</si>
  <si>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</si>
  <si>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</si>
  <si>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</si>
  <si>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</si>
  <si>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</si>
  <si>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</si>
  <si>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</si>
  <si>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</si>
  <si>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</si>
  <si>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</si>
  <si>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</si>
  <si>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</si>
  <si>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</si>
  <si>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</si>
  <si>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</si>
  <si>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</si>
  <si>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</si>
  <si>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</si>
  <si>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</si>
  <si>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</si>
  <si>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</si>
  <si>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</si>
  <si>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</si>
  <si>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</si>
  <si>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</si>
  <si>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</si>
  <si>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</si>
  <si>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</si>
  <si>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</si>
  <si>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</si>
  <si>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</si>
  <si>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</si>
  <si>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</si>
  <si>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</si>
  <si>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</si>
  <si>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</si>
  <si>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</si>
  <si>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</si>
  <si>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</si>
  <si>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</si>
  <si>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</si>
  <si>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</si>
  <si>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</si>
  <si>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</si>
  <si>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</si>
  <si>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</si>
  <si>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</si>
  <si>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</si>
  <si>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</si>
  <si>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</si>
  <si>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</si>
  <si>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</si>
  <si>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</si>
  <si>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</si>
  <si>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</si>
  <si>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</si>
  <si>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</si>
  <si>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</si>
  <si>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</si>
  <si>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</si>
  <si>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</si>
  <si>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</si>
  <si>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</si>
  <si>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</si>
  <si>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</si>
  <si>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</si>
  <si>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</si>
  <si>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</si>
  <si>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</si>
  <si>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</si>
  <si>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</si>
  <si>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</si>
  <si>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</si>
  <si>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</si>
  <si>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</si>
  <si>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</si>
  <si>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</si>
  <si>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</si>
  <si>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</si>
  <si>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</si>
  <si>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</si>
  <si>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</si>
  <si>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</si>
  <si>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</si>
  <si>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</si>
  <si>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</si>
  <si>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</si>
  <si>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</si>
  <si>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</si>
  <si>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</si>
  <si>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</si>
  <si>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</si>
  <si>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</si>
  <si>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</si>
  <si>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</si>
  <si>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</si>
  <si>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</si>
  <si>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</si>
  <si>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</si>
  <si>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</si>
  <si>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</si>
  <si>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</si>
  <si>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</si>
  <si>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</si>
  <si>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</si>
  <si>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</si>
  <si>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</si>
  <si>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</si>
  <si>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</si>
  <si>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</si>
  <si>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</si>
  <si>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</si>
  <si>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</si>
  <si>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</si>
  <si>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</si>
  <si>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</si>
  <si>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</si>
  <si>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</si>
  <si>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</si>
  <si>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</si>
  <si>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</si>
  <si>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</si>
  <si>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</si>
  <si>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</si>
  <si>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</si>
  <si>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</si>
  <si>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</si>
  <si>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</si>
  <si>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</si>
  <si>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</si>
  <si>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</si>
  <si>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</si>
  <si>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</si>
  <si>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</si>
  <si>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</si>
  <si>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</si>
  <si>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</si>
  <si>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</si>
  <si>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</si>
  <si>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</si>
  <si>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</si>
  <si>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</si>
  <si>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</si>
  <si>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</si>
  <si>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</si>
  <si>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</si>
  <si>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</si>
  <si>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</si>
  <si>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</si>
  <si>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</si>
  <si>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</si>
  <si>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</si>
  <si>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</si>
  <si>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</si>
  <si>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</si>
  <si>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</si>
  <si>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</si>
  <si>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</si>
  <si>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</si>
  <si>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</si>
  <si>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</si>
  <si>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</si>
  <si>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</si>
  <si>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</si>
  <si>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</si>
  <si>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</si>
  <si>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</si>
  <si>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</si>
  <si>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</si>
  <si>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</si>
  <si>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</si>
  <si>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</si>
  <si>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</si>
  <si>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</si>
  <si>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</si>
  <si>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</si>
  <si>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</si>
  <si>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</si>
  <si>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</si>
  <si>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</si>
  <si>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</si>
  <si>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</si>
  <si>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</si>
  <si>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</si>
  <si>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</si>
  <si>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</si>
  <si>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</si>
  <si>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</si>
  <si>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</si>
  <si>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</si>
  <si>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</si>
  <si>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</si>
  <si>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</si>
  <si>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</si>
  <si>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</si>
  <si>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</si>
  <si>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</si>
  <si>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</si>
  <si>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</si>
  <si>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</si>
  <si>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</si>
  <si>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</si>
  <si>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</si>
  <si>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</si>
  <si>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</si>
  <si>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</si>
  <si>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</si>
  <si>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</si>
  <si>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</si>
  <si>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</si>
  <si>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</si>
  <si>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</si>
  <si>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</si>
  <si>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</si>
  <si>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</si>
  <si>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</si>
  <si>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</si>
  <si>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</si>
  <si>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</si>
  <si>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</si>
  <si>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</si>
  <si>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</si>
  <si>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</si>
  <si>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</si>
  <si>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</si>
  <si>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</si>
  <si>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</si>
  <si>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</si>
  <si>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</si>
  <si>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</si>
  <si>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</si>
  <si>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</si>
  <si>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</si>
  <si>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</si>
  <si>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</si>
  <si>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</si>
  <si>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</si>
  <si>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</si>
  <si>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</si>
  <si>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</si>
  <si>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</si>
  <si>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</si>
  <si>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</si>
  <si>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</si>
  <si>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</si>
  <si>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</si>
  <si>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</si>
  <si>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</si>
  <si>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</si>
  <si>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</si>
  <si>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</si>
  <si>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</si>
  <si>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</si>
  <si>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</si>
  <si>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</si>
  <si>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</si>
  <si>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</si>
  <si>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</si>
  <si>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</si>
  <si>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</si>
  <si>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</si>
  <si>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</si>
  <si>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</si>
  <si>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</si>
  <si>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</si>
  <si>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</si>
  <si>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</si>
  <si>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</si>
  <si>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</si>
  <si>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</si>
  <si>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</si>
  <si>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</si>
  <si>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</si>
  <si>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</si>
  <si>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</si>
  <si>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</si>
  <si>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</si>
  <si>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</si>
  <si>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</si>
  <si>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</si>
  <si>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</si>
  <si>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</si>
  <si>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</si>
  <si>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</si>
  <si>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</si>
  <si>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</si>
  <si>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</si>
  <si>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</si>
  <si>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</si>
  <si>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</si>
  <si>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</si>
  <si>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</si>
  <si>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</si>
  <si>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</si>
  <si>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</si>
  <si>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</si>
  <si>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</si>
  <si>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</si>
  <si>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</si>
  <si>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</si>
  <si>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</si>
  <si>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</si>
  <si>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</si>
  <si>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</si>
  <si>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</si>
  <si>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</si>
  <si>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</si>
  <si>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</si>
  <si>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</si>
  <si>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</si>
  <si>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</si>
  <si>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</si>
  <si>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</si>
  <si>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</si>
  <si>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</si>
  <si>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</si>
  <si>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</si>
  <si>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</si>
  <si>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</si>
  <si>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</si>
  <si>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</si>
  <si>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</si>
  <si>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</si>
  <si>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</si>
  <si>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</si>
  <si>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</si>
  <si>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</si>
  <si>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</si>
  <si>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</si>
  <si>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</si>
  <si>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</si>
  <si>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</si>
  <si>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</si>
  <si>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</si>
  <si>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</si>
  <si>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</si>
  <si>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</si>
  <si>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</si>
  <si>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</si>
  <si>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</si>
  <si>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</si>
  <si>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</si>
  <si>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</si>
  <si>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</si>
  <si>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</si>
  <si>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</si>
  <si>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</si>
  <si>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</si>
  <si>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</si>
  <si>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</si>
  <si>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</si>
  <si>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</si>
  <si>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</si>
  <si>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</si>
  <si>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</si>
  <si>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</si>
  <si>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</si>
  <si>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</si>
  <si>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</si>
  <si>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</si>
  <si>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</si>
  <si>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</si>
  <si>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</si>
  <si>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</si>
  <si>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</si>
  <si>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</si>
  <si>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</si>
  <si>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</si>
  <si>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</si>
  <si>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</si>
  <si>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</si>
  <si>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</si>
  <si>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</si>
  <si>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</si>
  <si>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</si>
  <si>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</si>
  <si>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</si>
  <si>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</si>
  <si>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</si>
  <si>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</si>
  <si>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</si>
  <si>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</si>
  <si>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</si>
  <si>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</si>
  <si>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</si>
  <si>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</si>
  <si>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</si>
  <si>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</si>
  <si>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</si>
  <si>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</si>
  <si>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</si>
  <si>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</si>
  <si>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</si>
  <si>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</si>
  <si>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</si>
  <si>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</si>
  <si>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</si>
  <si>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</si>
  <si>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</si>
  <si>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</si>
  <si>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</si>
  <si>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</si>
  <si>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</si>
  <si>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</si>
  <si>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</si>
  <si>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</si>
  <si>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</si>
  <si>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</si>
  <si>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</si>
  <si>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</si>
  <si>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</si>
  <si>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</si>
  <si>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</si>
  <si>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</si>
  <si>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</si>
  <si>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</si>
  <si>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</si>
  <si>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</si>
  <si>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</si>
  <si>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</si>
  <si>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</si>
  <si>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</si>
  <si>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</si>
  <si>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</si>
  <si>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</si>
  <si>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</si>
  <si>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</si>
  <si>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</si>
  <si>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</si>
  <si>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</si>
  <si>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</si>
  <si>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</si>
  <si>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</si>
  <si>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</si>
  <si>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</si>
  <si>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</si>
  <si>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</si>
  <si>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</si>
  <si>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</si>
  <si>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</si>
  <si>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</si>
  <si>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</si>
  <si>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</si>
  <si>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</si>
  <si>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</si>
  <si>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</si>
  <si>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</si>
  <si>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</si>
  <si>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</si>
  <si>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</si>
  <si>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</si>
  <si>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</si>
  <si>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</si>
  <si>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</si>
  <si>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</si>
  <si>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</si>
  <si>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</si>
  <si>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</si>
  <si>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</si>
  <si>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</si>
  <si>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</si>
  <si>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</si>
  <si>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</si>
  <si>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</si>
  <si>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</si>
  <si>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</si>
  <si>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</si>
  <si>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</si>
  <si>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</si>
  <si>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</si>
  <si>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</si>
  <si>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</si>
  <si>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</si>
  <si>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</si>
  <si>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</si>
  <si>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</si>
  <si>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</si>
  <si>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</si>
  <si>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</si>
  <si>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</si>
  <si>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</si>
  <si>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</si>
  <si>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</si>
  <si>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</si>
  <si>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</si>
  <si>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</si>
  <si>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</si>
  <si>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</si>
  <si>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</si>
  <si>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</si>
  <si>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</si>
  <si>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</si>
  <si>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</si>
  <si>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</si>
  <si>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</si>
  <si>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</si>
  <si>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</si>
  <si>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</si>
  <si>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</si>
  <si>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</si>
  <si>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</si>
  <si>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</si>
  <si>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</si>
  <si>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</si>
  <si>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</si>
  <si>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</si>
  <si>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</si>
  <si>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</si>
  <si>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</si>
  <si>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</si>
  <si>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</si>
  <si>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</si>
  <si>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</si>
  <si>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</si>
  <si>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</si>
  <si>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</si>
  <si>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</si>
  <si>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</si>
  <si>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</si>
  <si>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</si>
  <si>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</si>
  <si>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</si>
  <si>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</si>
  <si>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</si>
  <si>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</si>
  <si>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</si>
  <si>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</si>
  <si>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</si>
  <si>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</si>
  <si>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</si>
  <si>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</si>
  <si>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</si>
  <si>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</si>
  <si>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</si>
  <si>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</si>
  <si>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</si>
  <si>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</si>
  <si>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</si>
  <si>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</si>
  <si>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</si>
  <si>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</si>
  <si>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</si>
  <si>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</si>
  <si>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</si>
  <si>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</si>
  <si>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</si>
  <si>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</si>
  <si>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</si>
  <si>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</si>
  <si>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</si>
  <si>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</si>
  <si>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</si>
  <si>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</si>
  <si>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</si>
  <si>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</si>
  <si>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</si>
  <si>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</si>
  <si>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</si>
  <si>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</si>
  <si>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</si>
  <si>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</si>
  <si>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</si>
  <si>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</si>
  <si>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</si>
  <si>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</si>
  <si>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</si>
  <si>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</si>
  <si>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</si>
  <si>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</si>
  <si>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</si>
  <si>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</si>
  <si>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</si>
  <si>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</si>
  <si>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</si>
  <si>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</si>
  <si>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</si>
  <si>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</si>
  <si>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</si>
  <si>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</si>
  <si>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</si>
  <si>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</si>
  <si>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</si>
  <si>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</si>
  <si>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</si>
  <si>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</si>
  <si>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</si>
  <si>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</si>
  <si>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</si>
  <si>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</si>
  <si>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</si>
  <si>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</si>
  <si>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</si>
  <si>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</si>
  <si>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</si>
  <si>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</si>
  <si>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</si>
  <si>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</si>
  <si>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</si>
  <si>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</si>
  <si>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</si>
  <si>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</si>
  <si>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</si>
  <si>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</si>
  <si>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</si>
  <si>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</si>
  <si>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</si>
  <si>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</si>
  <si>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</si>
  <si>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</si>
  <si>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</si>
  <si>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</si>
  <si>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</si>
  <si>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</si>
  <si>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</si>
  <si>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</si>
  <si>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</si>
  <si>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</si>
  <si>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</si>
  <si>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</si>
  <si>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</si>
  <si>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</si>
  <si>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</si>
  <si>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</si>
  <si>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</si>
  <si>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</si>
  <si>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</si>
  <si>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</si>
  <si>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</si>
  <si>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</si>
  <si>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</si>
  <si>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</si>
  <si>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</si>
  <si>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</si>
  <si>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</si>
  <si>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</si>
  <si>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</si>
  <si>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</si>
  <si>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</si>
  <si>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</si>
  <si>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</si>
  <si>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</si>
  <si>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</si>
  <si>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</si>
  <si>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</si>
  <si>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</si>
  <si>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</si>
  <si>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</si>
  <si>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</si>
  <si>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</si>
  <si>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</si>
  <si>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</si>
  <si>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</si>
  <si>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</si>
  <si>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</si>
  <si>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</si>
  <si>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</si>
  <si>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</si>
  <si>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</si>
  <si>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</si>
  <si>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</si>
  <si>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</si>
  <si>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</si>
  <si>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</si>
  <si>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</si>
  <si>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</si>
  <si>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</si>
  <si>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</si>
  <si>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</si>
  <si>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</si>
  <si>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</si>
  <si>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</si>
  <si>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</si>
  <si>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</si>
  <si>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</si>
  <si>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</si>
  <si>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</si>
  <si>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</si>
  <si>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</si>
  <si>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</si>
  <si>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</si>
  <si>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</si>
  <si>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</si>
  <si>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</si>
  <si>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</si>
  <si>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</si>
  <si>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</si>
  <si>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</si>
  <si>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</si>
  <si>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</si>
  <si>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</si>
  <si>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</si>
  <si>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</si>
  <si>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</si>
  <si>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</si>
  <si>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</si>
  <si>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</si>
  <si>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</si>
  <si>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</si>
  <si>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</si>
  <si>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</si>
  <si>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</si>
  <si>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</si>
  <si>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</si>
  <si>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</si>
  <si>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</si>
  <si>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</si>
  <si>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</si>
  <si>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</si>
  <si>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</si>
  <si>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</si>
  <si>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</si>
  <si>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</si>
  <si>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</si>
  <si>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</si>
  <si>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</si>
  <si>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</si>
  <si>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</si>
  <si>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</si>
  <si>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</si>
  <si>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</si>
  <si>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</si>
  <si>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</si>
  <si>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</si>
  <si>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</si>
  <si>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</si>
  <si>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</si>
  <si>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</si>
  <si>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</si>
  <si>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</si>
  <si>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</si>
  <si>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</si>
  <si>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</si>
  <si>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</si>
  <si>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</si>
  <si>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</si>
  <si>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</si>
  <si>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</si>
  <si>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</si>
  <si>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</si>
  <si>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</si>
  <si>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</si>
  <si>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</si>
  <si>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</si>
  <si>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</si>
  <si>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</si>
  <si>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</si>
  <si>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</si>
  <si>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</si>
  <si>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</si>
  <si>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</si>
  <si>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</si>
  <si>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</si>
  <si>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</si>
  <si>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</si>
  <si>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</si>
  <si>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</si>
  <si>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</si>
  <si>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</si>
  <si>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</si>
  <si>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</si>
  <si>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</si>
  <si>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</si>
  <si>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</si>
  <si>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</si>
  <si>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</si>
  <si>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</si>
  <si>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</si>
  <si>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</si>
  <si>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</si>
  <si>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</si>
  <si>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</si>
  <si>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</si>
  <si>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</si>
  <si>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</si>
  <si>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</si>
  <si>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</si>
  <si>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</si>
  <si>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</si>
  <si>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</si>
  <si>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</si>
  <si>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</si>
  <si>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</si>
  <si>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</si>
  <si>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</si>
  <si>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</si>
  <si>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</si>
  <si>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</si>
  <si>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12005</t>
  </si>
  <si>
    <t>BONHEIDEN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</si>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</sst>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146881.77654630915</c:v>
                </c:pt>
                <c:pt idx="1">
                  <c:v>55583.840058379348</c:v>
                </c:pt>
                <c:pt idx="2">
                  <c:v>1441.847</c:v>
                </c:pt>
                <c:pt idx="3">
                  <c:v>2814.3344672085</c:v>
                </c:pt>
                <c:pt idx="4">
                  <c:v>7543.0450188743926</c:v>
                </c:pt>
                <c:pt idx="5">
                  <c:v>74861.718596803228</c:v>
                </c:pt>
                <c:pt idx="6">
                  <c:v>1786.5484413736381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8224"/>
        <c:axId val="182310016"/>
      </c:barChart>
      <c:catAx>
        <c:axId val="182308224"/>
        <c:scaling>
          <c:orientation val="minMax"/>
        </c:scaling>
        <c:axPos val="b"/>
        <c:numFmt formatCode="General" sourceLinked="0"/>
        <c:tickLblPos val="nextTo"/>
        <c:crossAx val="182310016"/>
        <c:crosses val="autoZero"/>
        <c:auto val="1"/>
        <c:lblAlgn val="ctr"/>
        <c:lblOffset val="100"/>
      </c:catAx>
      <c:valAx>
        <c:axId val="182310016"/>
        <c:scaling>
          <c:orientation val="minMax"/>
        </c:scaling>
        <c:axPos val="l"/>
        <c:majorGridlines/>
        <c:numFmt formatCode="#,##0" sourceLinked="1"/>
        <c:tickLblPos val="nextTo"/>
        <c:crossAx val="18230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146881.77654630915</c:v>
                </c:pt>
                <c:pt idx="1">
                  <c:v>55583.840058379348</c:v>
                </c:pt>
                <c:pt idx="2">
                  <c:v>1441.847</c:v>
                </c:pt>
                <c:pt idx="3">
                  <c:v>2814.3344672085</c:v>
                </c:pt>
                <c:pt idx="4">
                  <c:v>7543.0450188743926</c:v>
                </c:pt>
                <c:pt idx="5">
                  <c:v>74861.718596803228</c:v>
                </c:pt>
                <c:pt idx="6">
                  <c:v>1786.5484413736381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29779.038678503759</c:v>
                </c:pt>
                <c:pt idx="1">
                  <c:v>11357.641063950348</c:v>
                </c:pt>
                <c:pt idx="2">
                  <c:v>303.30426888110549</c:v>
                </c:pt>
                <c:pt idx="3">
                  <c:v>614.4236794730873</c:v>
                </c:pt>
                <c:pt idx="4">
                  <c:v>1557.8593578288687</c:v>
                </c:pt>
                <c:pt idx="5">
                  <c:v>18886.922872092575</c:v>
                </c:pt>
                <c:pt idx="6">
                  <c:v>456.69795858353473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09472"/>
        <c:axId val="182427648"/>
      </c:barChart>
      <c:catAx>
        <c:axId val="182409472"/>
        <c:scaling>
          <c:orientation val="minMax"/>
        </c:scaling>
        <c:axPos val="b"/>
        <c:numFmt formatCode="General" sourceLinked="0"/>
        <c:tickLblPos val="nextTo"/>
        <c:crossAx val="182427648"/>
        <c:crosses val="autoZero"/>
        <c:auto val="1"/>
        <c:lblAlgn val="ctr"/>
        <c:lblOffset val="100"/>
      </c:catAx>
      <c:valAx>
        <c:axId val="182427648"/>
        <c:scaling>
          <c:orientation val="minMax"/>
        </c:scaling>
        <c:axPos val="l"/>
        <c:majorGridlines/>
        <c:numFmt formatCode="#,##0" sourceLinked="1"/>
        <c:tickLblPos val="nextTo"/>
        <c:crossAx val="182409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29779.038678503759</c:v>
                </c:pt>
                <c:pt idx="1">
                  <c:v>11357.641063950348</c:v>
                </c:pt>
                <c:pt idx="2">
                  <c:v>303.30426888110549</c:v>
                </c:pt>
                <c:pt idx="3">
                  <c:v>614.4236794730873</c:v>
                </c:pt>
                <c:pt idx="4">
                  <c:v>1557.8593578288687</c:v>
                </c:pt>
                <c:pt idx="5">
                  <c:v>18886.922872092575</c:v>
                </c:pt>
                <c:pt idx="6">
                  <c:v>456.69795858353473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12005</v>
      </c>
      <c r="B6" s="398"/>
      <c r="C6" s="399"/>
    </row>
    <row r="7" spans="1:7" s="396" customFormat="1" ht="15.75" customHeight="1">
      <c r="A7" s="400" t="str">
        <f>txtMunicipality</f>
        <v>BONHEIDEN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22269.804978153075</v>
      </c>
      <c r="D10" s="704">
        <f ca="1">tertiair!C16</f>
        <v>0</v>
      </c>
      <c r="E10" s="704">
        <f ca="1">tertiair!D16</f>
        <v>29287.792759000076</v>
      </c>
      <c r="F10" s="704">
        <f>tertiair!E16</f>
        <v>149.56538044977583</v>
      </c>
      <c r="G10" s="704">
        <f ca="1">tertiair!F16</f>
        <v>3843.53878951964</v>
      </c>
      <c r="H10" s="704">
        <f>tertiair!G16</f>
        <v>0</v>
      </c>
      <c r="I10" s="704">
        <f>tertiair!H16</f>
        <v>0</v>
      </c>
      <c r="J10" s="704">
        <f>tertiair!I16</f>
        <v>0</v>
      </c>
      <c r="K10" s="704">
        <f>tertiair!J16</f>
        <v>0</v>
      </c>
      <c r="L10" s="704">
        <f>tertiair!K16</f>
        <v>0</v>
      </c>
      <c r="M10" s="704">
        <f ca="1">tertiair!L16</f>
        <v>0</v>
      </c>
      <c r="N10" s="704">
        <f>tertiair!M16</f>
        <v>0</v>
      </c>
      <c r="O10" s="704">
        <f ca="1">tertiair!N16</f>
        <v>1455.9184845901093</v>
      </c>
      <c r="P10" s="704">
        <f>tertiair!O16</f>
        <v>0</v>
      </c>
      <c r="Q10" s="705">
        <f>tertiair!P16</f>
        <v>19.066666666666666</v>
      </c>
      <c r="R10" s="707">
        <f ca="1">SUM(C10:Q10)</f>
        <v>57025.687058379342</v>
      </c>
      <c r="S10" s="67"/>
    </row>
    <row r="11" spans="1:19" s="459" customFormat="1">
      <c r="A11" s="858" t="s">
        <v>225</v>
      </c>
      <c r="B11" s="863"/>
      <c r="C11" s="704">
        <f>huishoudens!B8</f>
        <v>29142.224565060569</v>
      </c>
      <c r="D11" s="704">
        <f>huishoudens!C8</f>
        <v>0</v>
      </c>
      <c r="E11" s="704">
        <f>huishoudens!D8</f>
        <v>65368.945664635394</v>
      </c>
      <c r="F11" s="704">
        <f>huishoudens!E8</f>
        <v>3894.0358795912721</v>
      </c>
      <c r="G11" s="704">
        <f>huishoudens!F8</f>
        <v>35806.221106129611</v>
      </c>
      <c r="H11" s="704">
        <f>huishoudens!G8</f>
        <v>0</v>
      </c>
      <c r="I11" s="704">
        <f>huishoudens!H8</f>
        <v>0</v>
      </c>
      <c r="J11" s="704">
        <f>huishoudens!I8</f>
        <v>0</v>
      </c>
      <c r="K11" s="704">
        <f>huishoudens!J8</f>
        <v>0</v>
      </c>
      <c r="L11" s="704">
        <f>huishoudens!K8</f>
        <v>0</v>
      </c>
      <c r="M11" s="704">
        <f>huishoudens!L8</f>
        <v>0</v>
      </c>
      <c r="N11" s="704">
        <f>huishoudens!M8</f>
        <v>0</v>
      </c>
      <c r="O11" s="704">
        <f>huishoudens!N8</f>
        <v>11944.192664225624</v>
      </c>
      <c r="P11" s="704">
        <f>huishoudens!O8</f>
        <v>192.29000000000002</v>
      </c>
      <c r="Q11" s="705">
        <f>huishoudens!P8</f>
        <v>533.86666666666667</v>
      </c>
      <c r="R11" s="707">
        <f>SUM(C11:Q11)</f>
        <v>146881.77654630915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2182.6462187626721</v>
      </c>
      <c r="D13" s="704">
        <f>industrie!C18</f>
        <v>0</v>
      </c>
      <c r="E13" s="704">
        <f>industrie!D18</f>
        <v>2514.2398348996685</v>
      </c>
      <c r="F13" s="704">
        <f>industrie!E18</f>
        <v>280.0641518058768</v>
      </c>
      <c r="G13" s="704">
        <f>industrie!F18</f>
        <v>1972.9391219261015</v>
      </c>
      <c r="H13" s="704">
        <f>industrie!G18</f>
        <v>0</v>
      </c>
      <c r="I13" s="704">
        <f>industrie!H18</f>
        <v>0</v>
      </c>
      <c r="J13" s="704">
        <f>industrie!I18</f>
        <v>0</v>
      </c>
      <c r="K13" s="704">
        <f>industrie!J18</f>
        <v>1.4016395351471476</v>
      </c>
      <c r="L13" s="704">
        <f>industrie!K18</f>
        <v>0</v>
      </c>
      <c r="M13" s="704">
        <f>industrie!L18</f>
        <v>0</v>
      </c>
      <c r="N13" s="704">
        <f>industrie!M18</f>
        <v>0</v>
      </c>
      <c r="O13" s="704">
        <f>industrie!N18</f>
        <v>591.75405194492646</v>
      </c>
      <c r="P13" s="704">
        <f>industrie!O18</f>
        <v>0</v>
      </c>
      <c r="Q13" s="705">
        <f>industrie!P18</f>
        <v>0</v>
      </c>
      <c r="R13" s="707">
        <f>SUM(C13:Q13)</f>
        <v>7543.0450188743926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53594.675761976323</v>
      </c>
      <c r="D15" s="709">
        <f t="shared" ref="D15:Q15" ca="1" si="0">SUM(D9:D14)</f>
        <v>0</v>
      </c>
      <c r="E15" s="709">
        <f t="shared" ca="1" si="0"/>
        <v>97170.978258535135</v>
      </c>
      <c r="F15" s="709">
        <f t="shared" si="0"/>
        <v>4323.6654118469241</v>
      </c>
      <c r="G15" s="709">
        <f t="shared" ca="1" si="0"/>
        <v>41622.699017575353</v>
      </c>
      <c r="H15" s="709">
        <f t="shared" si="0"/>
        <v>0</v>
      </c>
      <c r="I15" s="709">
        <f t="shared" si="0"/>
        <v>0</v>
      </c>
      <c r="J15" s="709">
        <f t="shared" si="0"/>
        <v>0</v>
      </c>
      <c r="K15" s="709">
        <f t="shared" si="0"/>
        <v>1.4016395351471476</v>
      </c>
      <c r="L15" s="709">
        <f t="shared" si="0"/>
        <v>0</v>
      </c>
      <c r="M15" s="709">
        <f t="shared" ca="1" si="0"/>
        <v>0</v>
      </c>
      <c r="N15" s="709">
        <f t="shared" si="0"/>
        <v>0</v>
      </c>
      <c r="O15" s="709">
        <f t="shared" ca="1" si="0"/>
        <v>13991.86520076066</v>
      </c>
      <c r="P15" s="709">
        <f t="shared" si="0"/>
        <v>192.29000000000002</v>
      </c>
      <c r="Q15" s="710">
        <f t="shared" si="0"/>
        <v>552.93333333333339</v>
      </c>
      <c r="R15" s="711">
        <f ca="1">SUM(R9:R14)</f>
        <v>211450.5086235629</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1710.4792456312161</v>
      </c>
      <c r="I18" s="704">
        <f>transport!H54</f>
        <v>0</v>
      </c>
      <c r="J18" s="704">
        <f>transport!I54</f>
        <v>0</v>
      </c>
      <c r="K18" s="704">
        <f>transport!J54</f>
        <v>0</v>
      </c>
      <c r="L18" s="704">
        <f>transport!K54</f>
        <v>0</v>
      </c>
      <c r="M18" s="704">
        <f>transport!L54</f>
        <v>0</v>
      </c>
      <c r="N18" s="704">
        <f>transport!M54</f>
        <v>76.069195742421968</v>
      </c>
      <c r="O18" s="704">
        <f>transport!N54</f>
        <v>0</v>
      </c>
      <c r="P18" s="704">
        <f>transport!O54</f>
        <v>0</v>
      </c>
      <c r="Q18" s="705">
        <f>transport!P54</f>
        <v>0</v>
      </c>
      <c r="R18" s="707">
        <f>SUM(C18:Q18)</f>
        <v>1786.5484413736381</v>
      </c>
      <c r="S18" s="67"/>
    </row>
    <row r="19" spans="1:19" s="459" customFormat="1" ht="15" thickBot="1">
      <c r="A19" s="858" t="s">
        <v>307</v>
      </c>
      <c r="B19" s="863"/>
      <c r="C19" s="713">
        <f>transport!B14</f>
        <v>5.5633046906289829</v>
      </c>
      <c r="D19" s="713">
        <f>transport!C14</f>
        <v>0</v>
      </c>
      <c r="E19" s="713">
        <f>transport!D14</f>
        <v>8.4233960069931886</v>
      </c>
      <c r="F19" s="713">
        <f>transport!E14</f>
        <v>261.4732510646482</v>
      </c>
      <c r="G19" s="713">
        <f>transport!F14</f>
        <v>0</v>
      </c>
      <c r="H19" s="713">
        <f>transport!G14</f>
        <v>58680.253549790134</v>
      </c>
      <c r="I19" s="713">
        <f>transport!H14</f>
        <v>12678.991702110832</v>
      </c>
      <c r="J19" s="713">
        <f>transport!I14</f>
        <v>0</v>
      </c>
      <c r="K19" s="713">
        <f>transport!J14</f>
        <v>0</v>
      </c>
      <c r="L19" s="713">
        <f>transport!K14</f>
        <v>0</v>
      </c>
      <c r="M19" s="713">
        <f>transport!L14</f>
        <v>0</v>
      </c>
      <c r="N19" s="713">
        <f>transport!M14</f>
        <v>3227.0133931399855</v>
      </c>
      <c r="O19" s="713">
        <f>transport!N14</f>
        <v>0</v>
      </c>
      <c r="P19" s="713">
        <f>transport!O14</f>
        <v>0</v>
      </c>
      <c r="Q19" s="714">
        <f>transport!P14</f>
        <v>0</v>
      </c>
      <c r="R19" s="715">
        <f>SUM(C19:Q19)</f>
        <v>74861.718596803228</v>
      </c>
      <c r="S19" s="67"/>
    </row>
    <row r="20" spans="1:19" s="459" customFormat="1" ht="15.75" thickBot="1">
      <c r="A20" s="716" t="s">
        <v>230</v>
      </c>
      <c r="B20" s="866"/>
      <c r="C20" s="861">
        <f>SUM(C17:C19)</f>
        <v>5.5633046906289829</v>
      </c>
      <c r="D20" s="717">
        <f t="shared" ref="D20:R20" si="1">SUM(D17:D19)</f>
        <v>0</v>
      </c>
      <c r="E20" s="717">
        <f t="shared" si="1"/>
        <v>8.4233960069931886</v>
      </c>
      <c r="F20" s="717">
        <f t="shared" si="1"/>
        <v>261.4732510646482</v>
      </c>
      <c r="G20" s="717">
        <f t="shared" si="1"/>
        <v>0</v>
      </c>
      <c r="H20" s="717">
        <f t="shared" si="1"/>
        <v>60390.732795421347</v>
      </c>
      <c r="I20" s="717">
        <f t="shared" si="1"/>
        <v>12678.991702110832</v>
      </c>
      <c r="J20" s="717">
        <f t="shared" si="1"/>
        <v>0</v>
      </c>
      <c r="K20" s="717">
        <f t="shared" si="1"/>
        <v>0</v>
      </c>
      <c r="L20" s="717">
        <f t="shared" si="1"/>
        <v>0</v>
      </c>
      <c r="M20" s="717">
        <f t="shared" si="1"/>
        <v>0</v>
      </c>
      <c r="N20" s="717">
        <f t="shared" si="1"/>
        <v>3303.0825888824074</v>
      </c>
      <c r="O20" s="717">
        <f t="shared" si="1"/>
        <v>0</v>
      </c>
      <c r="P20" s="717">
        <f t="shared" si="1"/>
        <v>0</v>
      </c>
      <c r="Q20" s="718">
        <f t="shared" si="1"/>
        <v>0</v>
      </c>
      <c r="R20" s="719">
        <f t="shared" si="1"/>
        <v>76648.267038176869</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179.548004142487</v>
      </c>
      <c r="D22" s="713">
        <f>+landbouw!C8</f>
        <v>0</v>
      </c>
      <c r="E22" s="713">
        <f>+landbouw!D8</f>
        <v>1986.0363543613551</v>
      </c>
      <c r="F22" s="713">
        <f>+landbouw!E8</f>
        <v>2.262536157053709</v>
      </c>
      <c r="G22" s="713">
        <f>+landbouw!F8</f>
        <v>619.485593754251</v>
      </c>
      <c r="H22" s="713">
        <f>+landbouw!G8</f>
        <v>0</v>
      </c>
      <c r="I22" s="713">
        <f>+landbouw!H8</f>
        <v>0</v>
      </c>
      <c r="J22" s="713">
        <f>+landbouw!I8</f>
        <v>0</v>
      </c>
      <c r="K22" s="713">
        <f>+landbouw!J8</f>
        <v>27.001978793353597</v>
      </c>
      <c r="L22" s="713">
        <f>+landbouw!K8</f>
        <v>0</v>
      </c>
      <c r="M22" s="713">
        <f>+landbouw!L8</f>
        <v>0</v>
      </c>
      <c r="N22" s="713">
        <f>+landbouw!M8</f>
        <v>0</v>
      </c>
      <c r="O22" s="713">
        <f>+landbouw!N8</f>
        <v>0</v>
      </c>
      <c r="P22" s="713">
        <f>+landbouw!O8</f>
        <v>0</v>
      </c>
      <c r="Q22" s="714">
        <f>+landbouw!P8</f>
        <v>0</v>
      </c>
      <c r="R22" s="715">
        <f>SUM(C22:Q22)</f>
        <v>2814.3344672085</v>
      </c>
      <c r="S22" s="67"/>
    </row>
    <row r="23" spans="1:19" s="459" customFormat="1" ht="17.25" thickTop="1" thickBot="1">
      <c r="A23" s="720" t="s">
        <v>116</v>
      </c>
      <c r="B23" s="852"/>
      <c r="C23" s="721">
        <f ca="1">C20+C15+C22</f>
        <v>53779.787070809442</v>
      </c>
      <c r="D23" s="721">
        <f t="shared" ref="D23:Q23" ca="1" si="2">D20+D15+D22</f>
        <v>0</v>
      </c>
      <c r="E23" s="721">
        <f t="shared" ca="1" si="2"/>
        <v>99165.438008903482</v>
      </c>
      <c r="F23" s="721">
        <f t="shared" si="2"/>
        <v>4587.4011990686258</v>
      </c>
      <c r="G23" s="721">
        <f t="shared" ca="1" si="2"/>
        <v>42242.184611329605</v>
      </c>
      <c r="H23" s="721">
        <f t="shared" si="2"/>
        <v>60390.732795421347</v>
      </c>
      <c r="I23" s="721">
        <f t="shared" si="2"/>
        <v>12678.991702110832</v>
      </c>
      <c r="J23" s="721">
        <f t="shared" si="2"/>
        <v>0</v>
      </c>
      <c r="K23" s="721">
        <f t="shared" si="2"/>
        <v>28.403618328500745</v>
      </c>
      <c r="L23" s="721">
        <f t="shared" si="2"/>
        <v>0</v>
      </c>
      <c r="M23" s="721">
        <f t="shared" ca="1" si="2"/>
        <v>0</v>
      </c>
      <c r="N23" s="721">
        <f t="shared" si="2"/>
        <v>3303.0825888824074</v>
      </c>
      <c r="O23" s="721">
        <f t="shared" ca="1" si="2"/>
        <v>13991.86520076066</v>
      </c>
      <c r="P23" s="721">
        <f t="shared" si="2"/>
        <v>192.29000000000002</v>
      </c>
      <c r="Q23" s="722">
        <f t="shared" si="2"/>
        <v>552.93333333333339</v>
      </c>
      <c r="R23" s="723">
        <f ca="1">R20+R15+R22</f>
        <v>290913.11012894823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4684.6349973495953</v>
      </c>
      <c r="D36" s="704">
        <f ca="1">tertiair!C20</f>
        <v>0</v>
      </c>
      <c r="E36" s="704">
        <f ca="1">tertiair!D20</f>
        <v>5916.1341373180157</v>
      </c>
      <c r="F36" s="704">
        <f>tertiair!E20</f>
        <v>33.951341362099114</v>
      </c>
      <c r="G36" s="704">
        <f ca="1">tertiair!F20</f>
        <v>1026.224856801744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11660.945332831454</v>
      </c>
    </row>
    <row r="37" spans="1:18">
      <c r="A37" s="873" t="s">
        <v>225</v>
      </c>
      <c r="B37" s="880"/>
      <c r="C37" s="704">
        <f ca="1">huishoudens!B12</f>
        <v>6130.3044742435841</v>
      </c>
      <c r="D37" s="704">
        <f ca="1">huishoudens!C12</f>
        <v>0</v>
      </c>
      <c r="E37" s="704">
        <f>huishoudens!D12</f>
        <v>13204.527024256351</v>
      </c>
      <c r="F37" s="704">
        <f>huishoudens!E12</f>
        <v>883.94614466721885</v>
      </c>
      <c r="G37" s="704">
        <f>huishoudens!F12</f>
        <v>9560.2610353366072</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29779.038678503759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459.13742276949063</v>
      </c>
      <c r="D39" s="704">
        <f ca="1">industrie!C22</f>
        <v>0</v>
      </c>
      <c r="E39" s="704">
        <f>industrie!D22</f>
        <v>507.87644664973305</v>
      </c>
      <c r="F39" s="704">
        <f>industrie!E22</f>
        <v>63.574562459934036</v>
      </c>
      <c r="G39" s="704">
        <f>industrie!F22</f>
        <v>526.77474555426909</v>
      </c>
      <c r="H39" s="704">
        <f>industrie!G22</f>
        <v>0</v>
      </c>
      <c r="I39" s="704">
        <f>industrie!H22</f>
        <v>0</v>
      </c>
      <c r="J39" s="704">
        <f>industrie!I22</f>
        <v>0</v>
      </c>
      <c r="K39" s="704">
        <f>industrie!J22</f>
        <v>0.49618039544209019</v>
      </c>
      <c r="L39" s="704">
        <f>industrie!K22</f>
        <v>0</v>
      </c>
      <c r="M39" s="704">
        <f>industrie!L22</f>
        <v>0</v>
      </c>
      <c r="N39" s="704">
        <f>industrie!M22</f>
        <v>0</v>
      </c>
      <c r="O39" s="704">
        <f>industrie!N22</f>
        <v>0</v>
      </c>
      <c r="P39" s="704">
        <f>industrie!O22</f>
        <v>0</v>
      </c>
      <c r="Q39" s="814">
        <f>industrie!P22</f>
        <v>0</v>
      </c>
      <c r="R39" s="906">
        <f ca="1">SUM(C39:Q39)</f>
        <v>1557.8593578288687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11274.07689436267</v>
      </c>
      <c r="D41" s="749">
        <f t="shared" ref="D41:R41" ca="1" si="4">SUM(D35:D40)</f>
        <v>0</v>
      </c>
      <c r="E41" s="749">
        <f t="shared" ca="1" si="4"/>
        <v>19628.537608224102</v>
      </c>
      <c r="F41" s="749">
        <f t="shared" si="4"/>
        <v>981.47204848925196</v>
      </c>
      <c r="G41" s="749">
        <f t="shared" ca="1" si="4"/>
        <v>11113.26063769262</v>
      </c>
      <c r="H41" s="749">
        <f t="shared" si="4"/>
        <v>0</v>
      </c>
      <c r="I41" s="749">
        <f t="shared" si="4"/>
        <v>0</v>
      </c>
      <c r="J41" s="749">
        <f t="shared" si="4"/>
        <v>0</v>
      </c>
      <c r="K41" s="749">
        <f t="shared" si="4"/>
        <v>0.49618039544209019</v>
      </c>
      <c r="L41" s="749">
        <f t="shared" si="4"/>
        <v>0</v>
      </c>
      <c r="M41" s="749">
        <f t="shared" ca="1" si="4"/>
        <v>0</v>
      </c>
      <c r="N41" s="749">
        <f t="shared" si="4"/>
        <v>0</v>
      </c>
      <c r="O41" s="749">
        <f t="shared" ca="1" si="4"/>
        <v>0</v>
      </c>
      <c r="P41" s="749">
        <f t="shared" si="4"/>
        <v>0</v>
      </c>
      <c r="Q41" s="750">
        <f t="shared" si="4"/>
        <v>0</v>
      </c>
      <c r="R41" s="751">
        <f t="shared" ca="1" si="4"/>
        <v>42997.843369164082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456.69795858353473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456.69795858353473</v>
      </c>
    </row>
    <row r="45" spans="1:18" ht="15" thickBot="1">
      <c r="A45" s="876" t="s">
        <v>307</v>
      </c>
      <c r="B45" s="886"/>
      <c r="C45" s="713">
        <f ca="1">transport!B18</f>
        <v>1.1702864879242032</v>
      </c>
      <c r="D45" s="713">
        <f>transport!C18</f>
        <v>0</v>
      </c>
      <c r="E45" s="713">
        <f>transport!D18</f>
        <v>1.7015259934126241</v>
      </c>
      <c r="F45" s="713">
        <f>transport!E18</f>
        <v>59.354427991675145</v>
      </c>
      <c r="G45" s="713">
        <f>transport!F18</f>
        <v>0</v>
      </c>
      <c r="H45" s="713">
        <f>transport!G18</f>
        <v>15667.627697793967</v>
      </c>
      <c r="I45" s="713">
        <f>transport!H18</f>
        <v>3157.068933825597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18886.922872092575</v>
      </c>
    </row>
    <row r="46" spans="1:18" ht="15.75" thickBot="1">
      <c r="A46" s="874" t="s">
        <v>230</v>
      </c>
      <c r="B46" s="887"/>
      <c r="C46" s="749">
        <f t="shared" ref="C46:R46" ca="1" si="5">SUM(C43:C45)</f>
        <v>1.1702864879242032</v>
      </c>
      <c r="D46" s="749">
        <f t="shared" ca="1" si="5"/>
        <v>0</v>
      </c>
      <c r="E46" s="749">
        <f t="shared" si="5"/>
        <v>1.7015259934126241</v>
      </c>
      <c r="F46" s="749">
        <f t="shared" si="5"/>
        <v>59.354427991675145</v>
      </c>
      <c r="G46" s="749">
        <f t="shared" si="5"/>
        <v>0</v>
      </c>
      <c r="H46" s="749">
        <f t="shared" si="5"/>
        <v>16124.325656377501</v>
      </c>
      <c r="I46" s="749">
        <f t="shared" si="5"/>
        <v>3157.068933825597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19343.620830676111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37.769386159210185</v>
      </c>
      <c r="D48" s="704">
        <f ca="1">+landbouw!C12</f>
        <v>0</v>
      </c>
      <c r="E48" s="704">
        <f>+landbouw!D12</f>
        <v>401.17934358099376</v>
      </c>
      <c r="F48" s="704">
        <f>+landbouw!E12</f>
        <v>0.513595707651192</v>
      </c>
      <c r="G48" s="704">
        <f>+landbouw!F12</f>
        <v>165.40265353238502</v>
      </c>
      <c r="H48" s="704">
        <f>+landbouw!G12</f>
        <v>0</v>
      </c>
      <c r="I48" s="704">
        <f>+landbouw!H12</f>
        <v>0</v>
      </c>
      <c r="J48" s="704">
        <f>+landbouw!I12</f>
        <v>0</v>
      </c>
      <c r="K48" s="704">
        <f>+landbouw!J12</f>
        <v>9.5587004928471728</v>
      </c>
      <c r="L48" s="704">
        <f>+landbouw!K12</f>
        <v>0</v>
      </c>
      <c r="M48" s="704">
        <f>+landbouw!L12</f>
        <v>0</v>
      </c>
      <c r="N48" s="704">
        <f>+landbouw!M12</f>
        <v>0</v>
      </c>
      <c r="O48" s="704">
        <f>+landbouw!N12</f>
        <v>0</v>
      </c>
      <c r="P48" s="704">
        <f>+landbouw!O12</f>
        <v>0</v>
      </c>
      <c r="Q48" s="705">
        <f>+landbouw!P12</f>
        <v>0</v>
      </c>
      <c r="R48" s="747">
        <f ca="1">SUM(C48:Q48)</f>
        <v>614.4236794730873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11313.016567009805</v>
      </c>
      <c r="D53" s="759">
        <f t="shared" ref="D53:Q53" ca="1" si="6">D41+D46+D48</f>
        <v>0</v>
      </c>
      <c r="E53" s="759">
        <f t="shared" ca="1" si="6"/>
        <v>20031.418477798507</v>
      </c>
      <c r="F53" s="759">
        <f t="shared" si="6"/>
        <v>1041.3400721885782</v>
      </c>
      <c r="G53" s="759">
        <f t="shared" ca="1" si="6"/>
        <v>11278.663291225004</v>
      </c>
      <c r="H53" s="759">
        <f t="shared" si="6"/>
        <v>16124.325656377501</v>
      </c>
      <c r="I53" s="759">
        <f t="shared" si="6"/>
        <v>3157.068933825597</v>
      </c>
      <c r="J53" s="759">
        <f t="shared" si="6"/>
        <v>0</v>
      </c>
      <c r="K53" s="759">
        <f t="shared" si="6"/>
        <v>10.054880888289263</v>
      </c>
      <c r="L53" s="759">
        <f t="shared" si="6"/>
        <v>0</v>
      </c>
      <c r="M53" s="759">
        <f t="shared" ca="1" si="6"/>
        <v>0</v>
      </c>
      <c r="N53" s="759">
        <f t="shared" si="6"/>
        <v>0</v>
      </c>
      <c r="O53" s="759">
        <f t="shared" ca="1" si="6"/>
        <v>0</v>
      </c>
      <c r="P53" s="759">
        <f>P41+P46+P48</f>
        <v>0</v>
      </c>
      <c r="Q53" s="760">
        <f t="shared" si="6"/>
        <v>0</v>
      </c>
      <c r="R53" s="761">
        <f ca="1">R41+R46+R48</f>
        <v>62955.887879313283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0.21035815095575708</v>
      </c>
      <c r="D55" s="824">
        <f t="shared" ca="1" si="7"/>
        <v>0</v>
      </c>
      <c r="E55" s="824">
        <f t="shared" ca="1" si="7"/>
        <v>0.20200000000000004</v>
      </c>
      <c r="F55" s="824">
        <f t="shared" si="7"/>
        <v>0.22700000000000004</v>
      </c>
      <c r="G55" s="824">
        <f t="shared" ca="1" si="7"/>
        <v>0.26700000000000002</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2589.6668580953819</v>
      </c>
      <c r="C66" s="781">
        <f>'lokale energieproductie'!B6</f>
        <v>2589.6668580953819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2589.6668580953819</v>
      </c>
      <c r="C69" s="789">
        <f>SUM(C64:C68)</f>
        <v>2589.6668580953819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29142.224565060569</v>
      </c>
      <c r="C4" s="463">
        <f>huishoudens!C8</f>
        <v>0</v>
      </c>
      <c r="D4" s="463">
        <f>huishoudens!D8</f>
        <v>65368.945664635394</v>
      </c>
      <c r="E4" s="463">
        <f>huishoudens!E8</f>
        <v>3894.0358795912721</v>
      </c>
      <c r="F4" s="463">
        <f>huishoudens!F8</f>
        <v>35806.221106129611</v>
      </c>
      <c r="G4" s="463">
        <f>huishoudens!G8</f>
        <v>0</v>
      </c>
      <c r="H4" s="463">
        <f>huishoudens!H8</f>
        <v>0</v>
      </c>
      <c r="I4" s="463">
        <f>huishoudens!I8</f>
        <v>0</v>
      </c>
      <c r="J4" s="463">
        <f>huishoudens!J8</f>
        <v>0</v>
      </c>
      <c r="K4" s="463">
        <f>huishoudens!K8</f>
        <v>0</v>
      </c>
      <c r="L4" s="463">
        <f>huishoudens!L8</f>
        <v>0</v>
      </c>
      <c r="M4" s="463">
        <f>huishoudens!M8</f>
        <v>0</v>
      </c>
      <c r="N4" s="463">
        <f>huishoudens!N8</f>
        <v>11944.192664225624</v>
      </c>
      <c r="O4" s="463">
        <f>huishoudens!O8</f>
        <v>192.29000000000002</v>
      </c>
      <c r="P4" s="464">
        <f>huishoudens!P8</f>
        <v>533.86666666666667</v>
      </c>
      <c r="Q4" s="465">
        <f>SUM(B4:P4)</f>
        <v>146881.77654630915</v>
      </c>
    </row>
    <row r="5" spans="1:17">
      <c r="A5" s="462" t="s">
        <v>156</v>
      </c>
      <c r="B5" s="463">
        <f ca="1">tertiair!B16</f>
        <v>20827.957978153074</v>
      </c>
      <c r="C5" s="463">
        <f ca="1">tertiair!C16</f>
        <v>0</v>
      </c>
      <c r="D5" s="463">
        <f ca="1">tertiair!D16</f>
        <v>29287.792759000076</v>
      </c>
      <c r="E5" s="463">
        <f>tertiair!E16</f>
        <v>149.56538044977583</v>
      </c>
      <c r="F5" s="463">
        <f ca="1">tertiair!F16</f>
        <v>3843.53878951964</v>
      </c>
      <c r="G5" s="463">
        <f>tertiair!G16</f>
        <v>0</v>
      </c>
      <c r="H5" s="463">
        <f>tertiair!H16</f>
        <v>0</v>
      </c>
      <c r="I5" s="463">
        <f>tertiair!I16</f>
        <v>0</v>
      </c>
      <c r="J5" s="463">
        <f>tertiair!J16</f>
        <v>0</v>
      </c>
      <c r="K5" s="463">
        <f>tertiair!K16</f>
        <v>0</v>
      </c>
      <c r="L5" s="463">
        <f ca="1">tertiair!L16</f>
        <v>0</v>
      </c>
      <c r="M5" s="463">
        <f>tertiair!M16</f>
        <v>0</v>
      </c>
      <c r="N5" s="463">
        <f ca="1">tertiair!N16</f>
        <v>1455.9184845901093</v>
      </c>
      <c r="O5" s="463">
        <f>tertiair!O16</f>
        <v>0</v>
      </c>
      <c r="P5" s="464">
        <f>tertiair!P16</f>
        <v>19.066666666666666</v>
      </c>
      <c r="Q5" s="462">
        <f t="shared" ref="Q5:Q13" ca="1" si="0">SUM(B5:P5)</f>
        <v>55583.840058379348</v>
      </c>
    </row>
    <row r="6" spans="1:17">
      <c r="A6" s="462" t="s">
        <v>194</v>
      </c>
      <c r="B6" s="463">
        <f>'openbare verlichting'!B8</f>
        <v>1441.847</v>
      </c>
      <c r="C6" s="463"/>
      <c r="D6" s="463"/>
      <c r="E6" s="463"/>
      <c r="F6" s="463"/>
      <c r="G6" s="463"/>
      <c r="H6" s="463"/>
      <c r="I6" s="463"/>
      <c r="J6" s="463"/>
      <c r="K6" s="463"/>
      <c r="L6" s="463"/>
      <c r="M6" s="463"/>
      <c r="N6" s="463"/>
      <c r="O6" s="463"/>
      <c r="P6" s="464"/>
      <c r="Q6" s="462">
        <f t="shared" si="0"/>
        <v>1441.847</v>
      </c>
    </row>
    <row r="7" spans="1:17">
      <c r="A7" s="462" t="s">
        <v>112</v>
      </c>
      <c r="B7" s="463">
        <f>landbouw!B8</f>
        <v>179.548004142487</v>
      </c>
      <c r="C7" s="463">
        <f>landbouw!C8</f>
        <v>0</v>
      </c>
      <c r="D7" s="463">
        <f>landbouw!D8</f>
        <v>1986.0363543613551</v>
      </c>
      <c r="E7" s="463">
        <f>landbouw!E8</f>
        <v>2.262536157053709</v>
      </c>
      <c r="F7" s="463">
        <f>landbouw!F8</f>
        <v>619.485593754251</v>
      </c>
      <c r="G7" s="463">
        <f>landbouw!G8</f>
        <v>0</v>
      </c>
      <c r="H7" s="463">
        <f>landbouw!H8</f>
        <v>0</v>
      </c>
      <c r="I7" s="463">
        <f>landbouw!I8</f>
        <v>0</v>
      </c>
      <c r="J7" s="463">
        <f>landbouw!J8</f>
        <v>27.001978793353597</v>
      </c>
      <c r="K7" s="463">
        <f>landbouw!K8</f>
        <v>0</v>
      </c>
      <c r="L7" s="463">
        <f>landbouw!L8</f>
        <v>0</v>
      </c>
      <c r="M7" s="463">
        <f>landbouw!M8</f>
        <v>0</v>
      </c>
      <c r="N7" s="463">
        <f>landbouw!N8</f>
        <v>0</v>
      </c>
      <c r="O7" s="463">
        <f>landbouw!O8</f>
        <v>0</v>
      </c>
      <c r="P7" s="464">
        <f>landbouw!P8</f>
        <v>0</v>
      </c>
      <c r="Q7" s="462">
        <f t="shared" si="0"/>
        <v>2814.3344672085</v>
      </c>
    </row>
    <row r="8" spans="1:17">
      <c r="A8" s="462" t="s">
        <v>657</v>
      </c>
      <c r="B8" s="463">
        <f>industrie!B18</f>
        <v>2182.6462187626721</v>
      </c>
      <c r="C8" s="463">
        <f>industrie!C18</f>
        <v>0</v>
      </c>
      <c r="D8" s="463">
        <f>industrie!D18</f>
        <v>2514.2398348996685</v>
      </c>
      <c r="E8" s="463">
        <f>industrie!E18</f>
        <v>280.0641518058768</v>
      </c>
      <c r="F8" s="463">
        <f>industrie!F18</f>
        <v>1972.9391219261015</v>
      </c>
      <c r="G8" s="463">
        <f>industrie!G18</f>
        <v>0</v>
      </c>
      <c r="H8" s="463">
        <f>industrie!H18</f>
        <v>0</v>
      </c>
      <c r="I8" s="463">
        <f>industrie!I18</f>
        <v>0</v>
      </c>
      <c r="J8" s="463">
        <f>industrie!J18</f>
        <v>1.4016395351471476</v>
      </c>
      <c r="K8" s="463">
        <f>industrie!K18</f>
        <v>0</v>
      </c>
      <c r="L8" s="463">
        <f>industrie!L18</f>
        <v>0</v>
      </c>
      <c r="M8" s="463">
        <f>industrie!M18</f>
        <v>0</v>
      </c>
      <c r="N8" s="463">
        <f>industrie!N18</f>
        <v>591.75405194492646</v>
      </c>
      <c r="O8" s="463">
        <f>industrie!O18</f>
        <v>0</v>
      </c>
      <c r="P8" s="464">
        <f>industrie!P18</f>
        <v>0</v>
      </c>
      <c r="Q8" s="462">
        <f t="shared" si="0"/>
        <v>7543.0450188743926</v>
      </c>
    </row>
    <row r="9" spans="1:17" s="468" customFormat="1">
      <c r="A9" s="466" t="s">
        <v>574</v>
      </c>
      <c r="B9" s="467">
        <f>transport!B14</f>
        <v>5.5633046906289829</v>
      </c>
      <c r="C9" s="467"/>
      <c r="D9" s="467">
        <f>transport!D14</f>
        <v>8.4233960069931886</v>
      </c>
      <c r="E9" s="467">
        <f>transport!E14</f>
        <v>261.4732510646482</v>
      </c>
      <c r="F9" s="467"/>
      <c r="G9" s="467">
        <f>transport!G14</f>
        <v>58680.253549790134</v>
      </c>
      <c r="H9" s="467">
        <f>transport!H14</f>
        <v>12678.991702110832</v>
      </c>
      <c r="I9" s="467"/>
      <c r="J9" s="467"/>
      <c r="K9" s="467"/>
      <c r="L9" s="467"/>
      <c r="M9" s="467">
        <f>transport!M14</f>
        <v>3227.0133931399855</v>
      </c>
      <c r="N9" s="467"/>
      <c r="O9" s="467"/>
      <c r="P9" s="467"/>
      <c r="Q9" s="466">
        <f>SUM(B9:P9)</f>
        <v>74861.718596803228</v>
      </c>
    </row>
    <row r="10" spans="1:17">
      <c r="A10" s="462" t="s">
        <v>564</v>
      </c>
      <c r="B10" s="463">
        <f>transport!B54</f>
        <v>0</v>
      </c>
      <c r="C10" s="463"/>
      <c r="D10" s="463">
        <f>transport!D54</f>
        <v>0</v>
      </c>
      <c r="E10" s="463"/>
      <c r="F10" s="463"/>
      <c r="G10" s="463">
        <f>transport!G54</f>
        <v>1710.4792456312161</v>
      </c>
      <c r="H10" s="463"/>
      <c r="I10" s="463"/>
      <c r="J10" s="463"/>
      <c r="K10" s="463"/>
      <c r="L10" s="463"/>
      <c r="M10" s="463">
        <f>transport!M54</f>
        <v>76.069195742421968</v>
      </c>
      <c r="N10" s="463"/>
      <c r="O10" s="463"/>
      <c r="P10" s="464"/>
      <c r="Q10" s="462">
        <f t="shared" si="0"/>
        <v>1786.5484413736381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53779.787070809434</v>
      </c>
      <c r="C14" s="473">
        <f t="shared" ref="C14:Q14" ca="1" si="1">SUM(C4:C13)</f>
        <v>0</v>
      </c>
      <c r="D14" s="473">
        <f t="shared" ca="1" si="1"/>
        <v>99165.438008903482</v>
      </c>
      <c r="E14" s="473">
        <f t="shared" si="1"/>
        <v>4587.4011990686258</v>
      </c>
      <c r="F14" s="473">
        <f t="shared" ca="1" si="1"/>
        <v>42242.184611329605</v>
      </c>
      <c r="G14" s="473">
        <f t="shared" si="1"/>
        <v>60390.732795421347</v>
      </c>
      <c r="H14" s="473">
        <f t="shared" si="1"/>
        <v>12678.991702110832</v>
      </c>
      <c r="I14" s="473">
        <f t="shared" si="1"/>
        <v>0</v>
      </c>
      <c r="J14" s="473">
        <f t="shared" si="1"/>
        <v>28.403618328500745</v>
      </c>
      <c r="K14" s="473">
        <f t="shared" si="1"/>
        <v>0</v>
      </c>
      <c r="L14" s="473">
        <f t="shared" ca="1" si="1"/>
        <v>0</v>
      </c>
      <c r="M14" s="473">
        <f t="shared" si="1"/>
        <v>3303.0825888824074</v>
      </c>
      <c r="N14" s="473">
        <f t="shared" ca="1" si="1"/>
        <v>13991.86520076066</v>
      </c>
      <c r="O14" s="473">
        <f t="shared" si="1"/>
        <v>192.29000000000002</v>
      </c>
      <c r="P14" s="474">
        <f t="shared" si="1"/>
        <v>552.93333333333339</v>
      </c>
      <c r="Q14" s="474">
        <f t="shared" ca="1" si="1"/>
        <v>290913.11012894823</v>
      </c>
    </row>
    <row r="16" spans="1:17">
      <c r="A16" s="476" t="s">
        <v>569</v>
      </c>
      <c r="B16" s="829">
        <f ca="1">huishoudens!B10</f>
        <v>0.21035815095575711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6130.3044742435841</v>
      </c>
      <c r="C21" s="463">
        <f t="shared" ref="C21:C28" ca="1" si="3">C4*$C$16</f>
        <v>0</v>
      </c>
      <c r="D21" s="463">
        <f t="shared" ref="D21:D30" si="4">D4*$D$16</f>
        <v>13204.527024256351</v>
      </c>
      <c r="E21" s="463">
        <f t="shared" ref="E21:E30" si="5">E4*$E$16</f>
        <v>883.94614466721885</v>
      </c>
      <c r="F21" s="463">
        <f t="shared" ref="F21:F28" si="6">F4*$F$16</f>
        <v>9560.2610353366072</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29779.038678503759</v>
      </c>
    </row>
    <row r="22" spans="1:17">
      <c r="A22" s="462" t="s">
        <v>156</v>
      </c>
      <c r="B22" s="463">
        <f t="shared" ca="1" si="2"/>
        <v>4381.3307284684897</v>
      </c>
      <c r="C22" s="463">
        <f t="shared" ca="1" si="3"/>
        <v>0</v>
      </c>
      <c r="D22" s="463">
        <f t="shared" ca="1" si="4"/>
        <v>5916.1341373180157</v>
      </c>
      <c r="E22" s="463">
        <f t="shared" si="5"/>
        <v>33.951341362099114</v>
      </c>
      <c r="F22" s="463">
        <f t="shared" ca="1" si="6"/>
        <v>1026.224856801744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11357.641063950348</v>
      </c>
    </row>
    <row r="23" spans="1:17">
      <c r="A23" s="462" t="s">
        <v>194</v>
      </c>
      <c r="B23" s="463">
        <f t="shared" ca="1" si="2"/>
        <v>303.30426888110549</v>
      </c>
      <c r="C23" s="463"/>
      <c r="D23" s="463"/>
      <c r="E23" s="463"/>
      <c r="F23" s="463"/>
      <c r="G23" s="463"/>
      <c r="H23" s="463"/>
      <c r="I23" s="463"/>
      <c r="J23" s="463"/>
      <c r="K23" s="463"/>
      <c r="L23" s="463"/>
      <c r="M23" s="463"/>
      <c r="N23" s="463"/>
      <c r="O23" s="463"/>
      <c r="P23" s="464"/>
      <c r="Q23" s="462">
        <f t="shared" ca="1" si="17"/>
        <v>303.30426888110549</v>
      </c>
    </row>
    <row r="24" spans="1:17">
      <c r="A24" s="462" t="s">
        <v>112</v>
      </c>
      <c r="B24" s="463">
        <f t="shared" ca="1" si="2"/>
        <v>37.769386159210185</v>
      </c>
      <c r="C24" s="463">
        <f t="shared" ca="1" si="3"/>
        <v>0</v>
      </c>
      <c r="D24" s="463">
        <f t="shared" si="4"/>
        <v>401.17934358099376</v>
      </c>
      <c r="E24" s="463">
        <f t="shared" si="5"/>
        <v>0.513595707651192</v>
      </c>
      <c r="F24" s="463">
        <f t="shared" si="6"/>
        <v>165.40265353238502</v>
      </c>
      <c r="G24" s="463">
        <f t="shared" si="7"/>
        <v>0</v>
      </c>
      <c r="H24" s="463">
        <f t="shared" si="8"/>
        <v>0</v>
      </c>
      <c r="I24" s="463">
        <f t="shared" si="9"/>
        <v>0</v>
      </c>
      <c r="J24" s="463">
        <f t="shared" si="10"/>
        <v>9.5587004928471728</v>
      </c>
      <c r="K24" s="463">
        <f t="shared" si="11"/>
        <v>0</v>
      </c>
      <c r="L24" s="463">
        <f t="shared" si="12"/>
        <v>0</v>
      </c>
      <c r="M24" s="463">
        <f t="shared" si="13"/>
        <v>0</v>
      </c>
      <c r="N24" s="463">
        <f t="shared" si="14"/>
        <v>0</v>
      </c>
      <c r="O24" s="463">
        <f t="shared" si="15"/>
        <v>0</v>
      </c>
      <c r="P24" s="464">
        <f t="shared" si="16"/>
        <v>0</v>
      </c>
      <c r="Q24" s="462">
        <f t="shared" ca="1" si="17"/>
        <v>614.4236794730873</v>
      </c>
    </row>
    <row r="25" spans="1:17">
      <c r="A25" s="462" t="s">
        <v>657</v>
      </c>
      <c r="B25" s="463">
        <f t="shared" ca="1" si="2"/>
        <v>459.13742276949063</v>
      </c>
      <c r="C25" s="463">
        <f t="shared" ca="1" si="3"/>
        <v>0</v>
      </c>
      <c r="D25" s="463">
        <f t="shared" si="4"/>
        <v>507.87644664973305</v>
      </c>
      <c r="E25" s="463">
        <f t="shared" si="5"/>
        <v>63.574562459934036</v>
      </c>
      <c r="F25" s="463">
        <f t="shared" si="6"/>
        <v>526.77474555426909</v>
      </c>
      <c r="G25" s="463">
        <f t="shared" si="7"/>
        <v>0</v>
      </c>
      <c r="H25" s="463">
        <f t="shared" si="8"/>
        <v>0</v>
      </c>
      <c r="I25" s="463">
        <f t="shared" si="9"/>
        <v>0</v>
      </c>
      <c r="J25" s="463">
        <f t="shared" si="10"/>
        <v>0.49618039544209019</v>
      </c>
      <c r="K25" s="463">
        <f t="shared" si="11"/>
        <v>0</v>
      </c>
      <c r="L25" s="463">
        <f t="shared" si="12"/>
        <v>0</v>
      </c>
      <c r="M25" s="463">
        <f t="shared" si="13"/>
        <v>0</v>
      </c>
      <c r="N25" s="463">
        <f t="shared" si="14"/>
        <v>0</v>
      </c>
      <c r="O25" s="463">
        <f t="shared" si="15"/>
        <v>0</v>
      </c>
      <c r="P25" s="464">
        <f t="shared" si="16"/>
        <v>0</v>
      </c>
      <c r="Q25" s="462">
        <f t="shared" ca="1" si="17"/>
        <v>1557.8593578288687</v>
      </c>
    </row>
    <row r="26" spans="1:17" s="468" customFormat="1">
      <c r="A26" s="466" t="s">
        <v>574</v>
      </c>
      <c r="B26" s="823">
        <f t="shared" ca="1" si="2"/>
        <v>1.1702864879242032</v>
      </c>
      <c r="C26" s="467"/>
      <c r="D26" s="467">
        <f t="shared" si="4"/>
        <v>1.7015259934126241</v>
      </c>
      <c r="E26" s="467">
        <f t="shared" si="5"/>
        <v>59.354427991675145</v>
      </c>
      <c r="F26" s="467"/>
      <c r="G26" s="467">
        <f t="shared" si="7"/>
        <v>15667.627697793967</v>
      </c>
      <c r="H26" s="467">
        <f t="shared" si="8"/>
        <v>3157.068933825597</v>
      </c>
      <c r="I26" s="467"/>
      <c r="J26" s="467"/>
      <c r="K26" s="467"/>
      <c r="L26" s="467"/>
      <c r="M26" s="467">
        <f t="shared" si="13"/>
        <v>0</v>
      </c>
      <c r="N26" s="467"/>
      <c r="O26" s="467"/>
      <c r="P26" s="478"/>
      <c r="Q26" s="466">
        <f t="shared" ca="1" si="17"/>
        <v>18886.922872092575</v>
      </c>
    </row>
    <row r="27" spans="1:17">
      <c r="A27" s="462" t="s">
        <v>564</v>
      </c>
      <c r="B27" s="463">
        <f t="shared" ca="1" si="2"/>
        <v>0</v>
      </c>
      <c r="C27" s="463"/>
      <c r="D27" s="467">
        <f t="shared" si="4"/>
        <v>0</v>
      </c>
      <c r="E27" s="463"/>
      <c r="F27" s="463"/>
      <c r="G27" s="463">
        <f t="shared" si="7"/>
        <v>456.69795858353473</v>
      </c>
      <c r="H27" s="463"/>
      <c r="I27" s="463"/>
      <c r="J27" s="463"/>
      <c r="K27" s="463"/>
      <c r="L27" s="463"/>
      <c r="M27" s="463">
        <f t="shared" si="13"/>
        <v>0</v>
      </c>
      <c r="N27" s="463"/>
      <c r="O27" s="463"/>
      <c r="P27" s="464"/>
      <c r="Q27" s="462">
        <f t="shared" ca="1" si="17"/>
        <v>456.69795858353473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11313.016567009805</v>
      </c>
      <c r="C31" s="473">
        <f t="shared" ca="1" si="18"/>
        <v>0</v>
      </c>
      <c r="D31" s="473">
        <f t="shared" ca="1" si="18"/>
        <v>20031.418477798507</v>
      </c>
      <c r="E31" s="473">
        <f t="shared" si="18"/>
        <v>1041.3400721885782</v>
      </c>
      <c r="F31" s="473">
        <f t="shared" ca="1" si="18"/>
        <v>11278.663291225004</v>
      </c>
      <c r="G31" s="473">
        <f t="shared" si="18"/>
        <v>16124.325656377501</v>
      </c>
      <c r="H31" s="473">
        <f t="shared" si="18"/>
        <v>3157.068933825597</v>
      </c>
      <c r="I31" s="473">
        <f t="shared" si="18"/>
        <v>0</v>
      </c>
      <c r="J31" s="473">
        <f t="shared" si="18"/>
        <v>10.054880888289263</v>
      </c>
      <c r="K31" s="473">
        <f t="shared" si="18"/>
        <v>0</v>
      </c>
      <c r="L31" s="473">
        <f t="shared" ca="1" si="18"/>
        <v>0</v>
      </c>
      <c r="M31" s="473">
        <f t="shared" si="18"/>
        <v>0</v>
      </c>
      <c r="N31" s="473">
        <f t="shared" ca="1" si="18"/>
        <v>0</v>
      </c>
      <c r="O31" s="473">
        <f t="shared" si="18"/>
        <v>0</v>
      </c>
      <c r="P31" s="474">
        <f t="shared" si="18"/>
        <v>0</v>
      </c>
      <c r="Q31" s="474">
        <f t="shared" ca="1" si="18"/>
        <v>62955.887879313283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0.21035815095575711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0.21035815095575711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0.21035815095575711</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12005</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5809</v>
      </c>
      <c r="C9" s="338">
        <v>5994</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798</v>
      </c>
    </row>
    <row r="15" spans="1:6">
      <c r="A15" s="1269" t="s">
        <v>184</v>
      </c>
      <c r="B15" s="335">
        <v>1</v>
      </c>
    </row>
    <row r="16" spans="1:6">
      <c r="A16" s="1269" t="s">
        <v>6</v>
      </c>
      <c r="B16" s="335">
        <v>92</v>
      </c>
    </row>
    <row r="17" spans="1:6">
      <c r="A17" s="1269" t="s">
        <v>7</v>
      </c>
      <c r="B17" s="335">
        <v>132</v>
      </c>
    </row>
    <row r="18" spans="1:6">
      <c r="A18" s="1269" t="s">
        <v>8</v>
      </c>
      <c r="B18" s="335">
        <v>140</v>
      </c>
    </row>
    <row r="19" spans="1:6">
      <c r="A19" s="1269" t="s">
        <v>9</v>
      </c>
      <c r="B19" s="335">
        <v>109</v>
      </c>
    </row>
    <row r="20" spans="1:6">
      <c r="A20" s="1269" t="s">
        <v>10</v>
      </c>
      <c r="B20" s="335">
        <v>140</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6</v>
      </c>
    </row>
    <row r="27" spans="1:6">
      <c r="A27" s="1269" t="s">
        <v>17</v>
      </c>
      <c r="B27" s="335">
        <v>0</v>
      </c>
    </row>
    <row r="28" spans="1:6" s="341" customFormat="1">
      <c r="A28" s="1270" t="s">
        <v>18</v>
      </c>
      <c r="B28" s="1270">
        <v>41</v>
      </c>
    </row>
    <row r="29" spans="1:6">
      <c r="A29" s="1270" t="s">
        <v>874</v>
      </c>
      <c r="B29" s="1270">
        <v>217</v>
      </c>
      <c r="C29" s="341"/>
      <c r="D29" s="341"/>
      <c r="E29" s="341"/>
      <c r="F29" s="341"/>
    </row>
    <row r="30" spans="1:6">
      <c r="A30" s="1265" t="s">
        <v>875</v>
      </c>
      <c r="B30" s="1265">
        <v>52</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19341.247068215998</v>
      </c>
      <c r="E38" s="335">
        <v>2</v>
      </c>
      <c r="F38" s="335">
        <v>16339.306180524</v>
      </c>
    </row>
    <row r="39" spans="1:6">
      <c r="A39" s="1269" t="s">
        <v>30</v>
      </c>
      <c r="B39" s="1269" t="s">
        <v>31</v>
      </c>
      <c r="C39" s="335">
        <v>3248</v>
      </c>
      <c r="D39" s="335">
        <v>72471114.927533701</v>
      </c>
      <c r="E39" s="335">
        <v>5671</v>
      </c>
      <c r="F39" s="335">
        <v>26853178.036890201</v>
      </c>
    </row>
    <row r="40" spans="1:6">
      <c r="A40" s="1269" t="s">
        <v>30</v>
      </c>
      <c r="B40" s="1269" t="s">
        <v>29</v>
      </c>
      <c r="C40" s="335">
        <v>0</v>
      </c>
      <c r="D40" s="335">
        <v>0</v>
      </c>
      <c r="E40" s="335">
        <v>0</v>
      </c>
      <c r="F40" s="335">
        <v>0</v>
      </c>
    </row>
    <row r="41" spans="1:6">
      <c r="A41" s="1269" t="s">
        <v>32</v>
      </c>
      <c r="B41" s="1269" t="s">
        <v>33</v>
      </c>
      <c r="C41" s="335">
        <v>17</v>
      </c>
      <c r="D41" s="335">
        <v>674872.68221018801</v>
      </c>
      <c r="E41" s="335">
        <v>55</v>
      </c>
      <c r="F41" s="335">
        <v>631521.70700912597</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6</v>
      </c>
      <c r="F44" s="335">
        <v>64674.276874520001</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14</v>
      </c>
      <c r="D48" s="335">
        <v>491245.67860925099</v>
      </c>
      <c r="E48" s="335">
        <v>34</v>
      </c>
      <c r="F48" s="335">
        <v>541986.47779190005</v>
      </c>
    </row>
    <row r="49" spans="1:6">
      <c r="A49" s="1269" t="s">
        <v>32</v>
      </c>
      <c r="B49" s="1269" t="s">
        <v>40</v>
      </c>
      <c r="C49" s="335">
        <v>0</v>
      </c>
      <c r="D49" s="335">
        <v>0</v>
      </c>
      <c r="E49" s="335">
        <v>0</v>
      </c>
      <c r="F49" s="335">
        <v>0</v>
      </c>
    </row>
    <row r="50" spans="1:6">
      <c r="A50" s="1269" t="s">
        <v>32</v>
      </c>
      <c r="B50" s="1269" t="s">
        <v>41</v>
      </c>
      <c r="C50" s="335">
        <v>6</v>
      </c>
      <c r="D50" s="335">
        <v>1621287.2211092401</v>
      </c>
      <c r="E50" s="335">
        <v>7</v>
      </c>
      <c r="F50" s="335">
        <v>944463.75708712602</v>
      </c>
    </row>
    <row r="51" spans="1:6">
      <c r="A51" s="1269" t="s">
        <v>42</v>
      </c>
      <c r="B51" s="1269" t="s">
        <v>43</v>
      </c>
      <c r="C51" s="335">
        <v>0</v>
      </c>
      <c r="D51" s="335">
        <v>0</v>
      </c>
      <c r="E51" s="335">
        <v>7</v>
      </c>
      <c r="F51" s="335">
        <v>79396.912587448998</v>
      </c>
    </row>
    <row r="52" spans="1:6">
      <c r="A52" s="1269" t="s">
        <v>42</v>
      </c>
      <c r="B52" s="1269" t="s">
        <v>29</v>
      </c>
      <c r="C52" s="335">
        <v>2</v>
      </c>
      <c r="D52" s="335">
        <v>73479.369183174</v>
      </c>
      <c r="E52" s="335">
        <v>8</v>
      </c>
      <c r="F52" s="335">
        <v>100151.091555038</v>
      </c>
    </row>
    <row r="53" spans="1:6">
      <c r="A53" s="1269" t="s">
        <v>44</v>
      </c>
      <c r="B53" s="1269" t="s">
        <v>45</v>
      </c>
      <c r="C53" s="335">
        <v>63</v>
      </c>
      <c r="D53" s="335">
        <v>2128334.7709070202</v>
      </c>
      <c r="E53" s="335">
        <v>152</v>
      </c>
      <c r="F53" s="335">
        <v>772009.70401781204</v>
      </c>
    </row>
    <row r="54" spans="1:6">
      <c r="A54" s="1269" t="s">
        <v>46</v>
      </c>
      <c r="B54" s="1269" t="s">
        <v>47</v>
      </c>
      <c r="C54" s="335">
        <v>0</v>
      </c>
      <c r="D54" s="335">
        <v>0</v>
      </c>
      <c r="E54" s="335">
        <v>1</v>
      </c>
      <c r="F54" s="335">
        <v>1441847</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40</v>
      </c>
      <c r="D57" s="335">
        <v>1966428.4825409199</v>
      </c>
      <c r="E57" s="335">
        <v>104</v>
      </c>
      <c r="F57" s="335">
        <v>1631484.8062108499</v>
      </c>
    </row>
    <row r="58" spans="1:6">
      <c r="A58" s="1269" t="s">
        <v>49</v>
      </c>
      <c r="B58" s="1269" t="s">
        <v>51</v>
      </c>
      <c r="C58" s="335">
        <v>45</v>
      </c>
      <c r="D58" s="335">
        <v>16939110.1483813</v>
      </c>
      <c r="E58" s="335">
        <v>57</v>
      </c>
      <c r="F58" s="335">
        <v>11069772.373893101</v>
      </c>
    </row>
    <row r="59" spans="1:6">
      <c r="A59" s="1269" t="s">
        <v>49</v>
      </c>
      <c r="B59" s="1269" t="s">
        <v>52</v>
      </c>
      <c r="C59" s="335">
        <v>36</v>
      </c>
      <c r="D59" s="335">
        <v>1253982.3530043799</v>
      </c>
      <c r="E59" s="335">
        <v>96</v>
      </c>
      <c r="F59" s="335">
        <v>2354750.9623032799</v>
      </c>
    </row>
    <row r="60" spans="1:6">
      <c r="A60" s="1269" t="s">
        <v>49</v>
      </c>
      <c r="B60" s="1269" t="s">
        <v>53</v>
      </c>
      <c r="C60" s="335">
        <v>37</v>
      </c>
      <c r="D60" s="335">
        <v>1731025.6575704301</v>
      </c>
      <c r="E60" s="335">
        <v>47</v>
      </c>
      <c r="F60" s="335">
        <v>1019375.45247054</v>
      </c>
    </row>
    <row r="61" spans="1:6">
      <c r="A61" s="1269" t="s">
        <v>49</v>
      </c>
      <c r="B61" s="1269" t="s">
        <v>54</v>
      </c>
      <c r="C61" s="335">
        <v>113</v>
      </c>
      <c r="D61" s="335">
        <v>5438729.2232494699</v>
      </c>
      <c r="E61" s="335">
        <v>229</v>
      </c>
      <c r="F61" s="335">
        <v>2216819.7148205498</v>
      </c>
    </row>
    <row r="62" spans="1:6">
      <c r="A62" s="1269" t="s">
        <v>49</v>
      </c>
      <c r="B62" s="1269" t="s">
        <v>55</v>
      </c>
      <c r="C62" s="335">
        <v>0</v>
      </c>
      <c r="D62" s="335">
        <v>0</v>
      </c>
      <c r="E62" s="335">
        <v>3</v>
      </c>
      <c r="F62" s="335">
        <v>44176.1463134531</v>
      </c>
    </row>
    <row r="63" spans="1:6">
      <c r="A63" s="1269" t="s">
        <v>49</v>
      </c>
      <c r="B63" s="1269" t="s">
        <v>29</v>
      </c>
      <c r="C63" s="335">
        <v>88</v>
      </c>
      <c r="D63" s="335">
        <v>5140560.8968943805</v>
      </c>
      <c r="E63" s="335">
        <v>104</v>
      </c>
      <c r="F63" s="335">
        <v>2491578.5221413001</v>
      </c>
    </row>
    <row r="64" spans="1:6">
      <c r="A64" s="1269" t="s">
        <v>56</v>
      </c>
      <c r="B64" s="1269" t="s">
        <v>57</v>
      </c>
      <c r="C64" s="335">
        <v>0</v>
      </c>
      <c r="D64" s="335">
        <v>0</v>
      </c>
      <c r="E64" s="335">
        <v>0</v>
      </c>
      <c r="F64" s="335">
        <v>0</v>
      </c>
    </row>
    <row r="65" spans="1:6">
      <c r="A65" s="1269" t="s">
        <v>56</v>
      </c>
      <c r="B65" s="1269" t="s">
        <v>29</v>
      </c>
      <c r="C65" s="335">
        <v>2</v>
      </c>
      <c r="D65" s="335">
        <v>52630.559674169403</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4</v>
      </c>
      <c r="F68" s="335">
        <v>24539.4273842945</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92872138</v>
      </c>
      <c r="E73" s="335">
        <v>96849458.507209018</v>
      </c>
    </row>
    <row r="74" spans="1:6">
      <c r="A74" s="1269" t="s">
        <v>64</v>
      </c>
      <c r="B74" s="1269" t="s">
        <v>727</v>
      </c>
      <c r="C74" s="1269" t="s">
        <v>728</v>
      </c>
      <c r="D74" s="335">
        <v>4579493.6030831411</v>
      </c>
      <c r="E74" s="335">
        <v>4699704.4974302631</v>
      </c>
    </row>
    <row r="75" spans="1:6">
      <c r="A75" s="1269" t="s">
        <v>65</v>
      </c>
      <c r="B75" s="1269" t="s">
        <v>725</v>
      </c>
      <c r="C75" s="1269" t="s">
        <v>729</v>
      </c>
      <c r="D75" s="335">
        <v>9012526</v>
      </c>
      <c r="E75" s="335">
        <v>9485182.6240938269</v>
      </c>
    </row>
    <row r="76" spans="1:6">
      <c r="A76" s="1269" t="s">
        <v>65</v>
      </c>
      <c r="B76" s="1269" t="s">
        <v>727</v>
      </c>
      <c r="C76" s="1269" t="s">
        <v>730</v>
      </c>
      <c r="D76" s="335">
        <v>13515.5</v>
      </c>
      <c r="E76" s="335">
        <v>14578.922962534449</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471984.7938337173</v>
      </c>
      <c r="C83" s="335">
        <v>466290.24861507321</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2289.0465281703696</v>
      </c>
    </row>
    <row r="92" spans="1:6">
      <c r="A92" s="1265" t="s">
        <v>69</v>
      </c>
      <c r="B92" s="338">
        <v>300.62032992501213</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1988</v>
      </c>
    </row>
    <row r="98" spans="1:6">
      <c r="A98" s="1269" t="s">
        <v>72</v>
      </c>
      <c r="B98" s="335">
        <v>3</v>
      </c>
    </row>
    <row r="99" spans="1:6">
      <c r="A99" s="1269" t="s">
        <v>73</v>
      </c>
      <c r="B99" s="335">
        <v>88</v>
      </c>
    </row>
    <row r="100" spans="1:6">
      <c r="A100" s="1269" t="s">
        <v>74</v>
      </c>
      <c r="B100" s="335">
        <v>366</v>
      </c>
    </row>
    <row r="101" spans="1:6">
      <c r="A101" s="1269" t="s">
        <v>75</v>
      </c>
      <c r="B101" s="335">
        <v>72</v>
      </c>
    </row>
    <row r="102" spans="1:6">
      <c r="A102" s="1269" t="s">
        <v>76</v>
      </c>
      <c r="B102" s="335">
        <v>70</v>
      </c>
    </row>
    <row r="103" spans="1:6">
      <c r="A103" s="1269" t="s">
        <v>77</v>
      </c>
      <c r="B103" s="335">
        <v>123</v>
      </c>
    </row>
    <row r="104" spans="1:6">
      <c r="A104" s="1269" t="s">
        <v>78</v>
      </c>
      <c r="B104" s="335">
        <v>2550</v>
      </c>
    </row>
    <row r="105" spans="1:6">
      <c r="A105" s="1265" t="s">
        <v>79</v>
      </c>
      <c r="B105" s="1265">
        <v>7</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11</v>
      </c>
      <c r="C123" s="335">
        <v>11</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112</v>
      </c>
    </row>
    <row r="130" spans="1:6">
      <c r="A130" s="1269" t="s">
        <v>295</v>
      </c>
      <c r="B130" s="335">
        <v>0</v>
      </c>
    </row>
    <row r="131" spans="1:6">
      <c r="A131" s="1269" t="s">
        <v>296</v>
      </c>
      <c r="B131" s="335">
        <v>1</v>
      </c>
    </row>
    <row r="132" spans="1:6">
      <c r="A132" s="1265" t="s">
        <v>297</v>
      </c>
      <c r="B132" s="338">
        <v>17</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53779.787070809442</v>
      </c>
      <c r="C3" s="43" t="s">
        <v>170</v>
      </c>
      <c r="D3" s="43"/>
      <c r="E3" s="156"/>
      <c r="F3" s="43"/>
      <c r="G3" s="43"/>
      <c r="H3" s="43"/>
      <c r="I3" s="43"/>
      <c r="J3" s="43"/>
      <c r="K3" s="96"/>
    </row>
    <row r="4" spans="1:11">
      <c r="A4" s="366" t="s">
        <v>171</v>
      </c>
      <c r="B4" s="49">
        <f>IF(ISERROR('SEAP template'!B69),0,'SEAP template'!B69)</f>
        <v>2589.6668580953819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0.21035815095575711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1441.847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1441.847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0.21035815095575711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303.30426888110549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26853.1780368902</v>
      </c>
      <c r="C5" s="17">
        <f>IF(ISERROR('Eigen informatie GS &amp; warmtenet'!B57),0,'Eigen informatie GS &amp; warmtenet'!B57)</f>
        <v>0</v>
      </c>
      <c r="D5" s="30">
        <f>(SUM(HH_hh_gas_kWh,HH_rest_gas_kWh)/1000)*0.902</f>
        <v>65368.945664635394</v>
      </c>
      <c r="E5" s="17">
        <f>B46*B57</f>
        <v>3894.0358795912721</v>
      </c>
      <c r="F5" s="17">
        <f>B51*B62</f>
        <v>35806.221106129611</v>
      </c>
      <c r="G5" s="18"/>
      <c r="H5" s="17"/>
      <c r="I5" s="17"/>
      <c r="J5" s="17">
        <f>B50*B61+C50*C61</f>
        <v>0</v>
      </c>
      <c r="K5" s="17"/>
      <c r="L5" s="17"/>
      <c r="M5" s="17"/>
      <c r="N5" s="17">
        <f>B48*B59+C48*C59</f>
        <v>11944.192664225624</v>
      </c>
      <c r="O5" s="17">
        <f>B69*B70*B71</f>
        <v>192.29000000000002</v>
      </c>
      <c r="P5" s="17">
        <f>B77*B78*B79/1000-B77*B78*B79/1000/B80</f>
        <v>533.86666666666667</v>
      </c>
    </row>
    <row r="6" spans="1:16">
      <c r="A6" s="16" t="s">
        <v>634</v>
      </c>
      <c r="B6" s="831">
        <f>kWh_PV_kleiner_dan_10kW</f>
        <v>2289.0465281703696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29142.224565060569</v>
      </c>
      <c r="C8" s="21">
        <f>C5</f>
        <v>0</v>
      </c>
      <c r="D8" s="21">
        <f>D5</f>
        <v>65368.945664635394</v>
      </c>
      <c r="E8" s="21">
        <f>E5</f>
        <v>3894.0358795912721</v>
      </c>
      <c r="F8" s="21">
        <f>F5</f>
        <v>35806.221106129611</v>
      </c>
      <c r="G8" s="21"/>
      <c r="H8" s="21"/>
      <c r="I8" s="21"/>
      <c r="J8" s="21">
        <f>J5</f>
        <v>0</v>
      </c>
      <c r="K8" s="21"/>
      <c r="L8" s="21">
        <f>L5</f>
        <v>0</v>
      </c>
      <c r="M8" s="21">
        <f>M5</f>
        <v>0</v>
      </c>
      <c r="N8" s="21">
        <f>N5</f>
        <v>11944.192664225624</v>
      </c>
      <c r="O8" s="21">
        <f>O5</f>
        <v>192.29000000000002</v>
      </c>
      <c r="P8" s="21">
        <f>P5</f>
        <v>533.86666666666667</v>
      </c>
    </row>
    <row r="9" spans="1:16">
      <c r="B9" s="19"/>
      <c r="C9" s="19"/>
      <c r="D9" s="261"/>
      <c r="E9" s="19"/>
      <c r="F9" s="19"/>
      <c r="G9" s="19"/>
      <c r="H9" s="19"/>
      <c r="I9" s="19"/>
      <c r="J9" s="19"/>
      <c r="K9" s="19"/>
      <c r="L9" s="19"/>
      <c r="M9" s="19"/>
      <c r="N9" s="19"/>
      <c r="O9" s="19"/>
      <c r="P9" s="19"/>
    </row>
    <row r="10" spans="1:16">
      <c r="A10" s="24" t="s">
        <v>214</v>
      </c>
      <c r="B10" s="25">
        <f ca="1">'EF ele_warmte'!B12</f>
        <v>0.21035815095575711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6130.3044742435841</v>
      </c>
      <c r="C12" s="23">
        <f ca="1">C10*C8</f>
        <v>0</v>
      </c>
      <c r="D12" s="23">
        <f>D8*D10</f>
        <v>13204.527024256351</v>
      </c>
      <c r="E12" s="23">
        <f>E10*E8</f>
        <v>883.94614466721885</v>
      </c>
      <c r="F12" s="23">
        <f>F10*F8</f>
        <v>9560.2610353366072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1988</v>
      </c>
      <c r="C18" s="168" t="s">
        <v>111</v>
      </c>
      <c r="D18" s="230"/>
      <c r="E18" s="15"/>
    </row>
    <row r="19" spans="1:7">
      <c r="A19" s="173" t="s">
        <v>72</v>
      </c>
      <c r="B19" s="37">
        <f>aantalw2001_ander</f>
        <v>3</v>
      </c>
      <c r="C19" s="168" t="s">
        <v>111</v>
      </c>
      <c r="D19" s="231"/>
      <c r="E19" s="15"/>
    </row>
    <row r="20" spans="1:7">
      <c r="A20" s="173" t="s">
        <v>73</v>
      </c>
      <c r="B20" s="37">
        <f>aantalw2001_propaan</f>
        <v>88</v>
      </c>
      <c r="C20" s="169">
        <f>IF(ISERROR(B20/SUM($B$20,$B$21,$B$22)*100),0,B20/SUM($B$20,$B$21,$B$22)*100)</f>
        <v>16.730038022813687</v>
      </c>
      <c r="D20" s="231"/>
      <c r="E20" s="15"/>
    </row>
    <row r="21" spans="1:7">
      <c r="A21" s="173" t="s">
        <v>74</v>
      </c>
      <c r="B21" s="37">
        <f>aantalw2001_elektriciteit</f>
        <v>366</v>
      </c>
      <c r="C21" s="169">
        <f>IF(ISERROR(B21/SUM($B$20,$B$21,$B$22)*100),0,B21/SUM($B$20,$B$21,$B$22)*100)</f>
        <v>69.581749049429646</v>
      </c>
      <c r="D21" s="231"/>
      <c r="E21" s="15"/>
    </row>
    <row r="22" spans="1:7">
      <c r="A22" s="173" t="s">
        <v>75</v>
      </c>
      <c r="B22" s="37">
        <f>aantalw2001_hout</f>
        <v>72</v>
      </c>
      <c r="C22" s="169">
        <f>IF(ISERROR(B22/SUM($B$20,$B$21,$B$22)*100),0,B22/SUM($B$20,$B$21,$B$22)*100)</f>
        <v>13.688212927756654</v>
      </c>
      <c r="D22" s="231"/>
      <c r="E22" s="15"/>
    </row>
    <row r="23" spans="1:7">
      <c r="A23" s="173" t="s">
        <v>76</v>
      </c>
      <c r="B23" s="37">
        <f>aantalw2001_niet_gespec</f>
        <v>70</v>
      </c>
      <c r="C23" s="168" t="s">
        <v>111</v>
      </c>
      <c r="D23" s="230"/>
      <c r="E23" s="15"/>
    </row>
    <row r="24" spans="1:7">
      <c r="A24" s="173" t="s">
        <v>77</v>
      </c>
      <c r="B24" s="37">
        <f>aantalw2001_steenkool</f>
        <v>123</v>
      </c>
      <c r="C24" s="168" t="s">
        <v>111</v>
      </c>
      <c r="D24" s="231"/>
      <c r="E24" s="15"/>
    </row>
    <row r="25" spans="1:7">
      <c r="A25" s="173" t="s">
        <v>78</v>
      </c>
      <c r="B25" s="37">
        <f>aantalw2001_stookolie</f>
        <v>2550</v>
      </c>
      <c r="C25" s="168" t="s">
        <v>111</v>
      </c>
      <c r="D25" s="230"/>
      <c r="E25" s="52"/>
    </row>
    <row r="26" spans="1:7">
      <c r="A26" s="173" t="s">
        <v>79</v>
      </c>
      <c r="B26" s="37">
        <f>aantalw2001_WP</f>
        <v>7</v>
      </c>
      <c r="C26" s="168" t="s">
        <v>111</v>
      </c>
      <c r="D26" s="230"/>
      <c r="E26" s="15"/>
    </row>
    <row r="27" spans="1:7" s="15" customFormat="1">
      <c r="A27" s="173"/>
      <c r="B27" s="29"/>
      <c r="C27" s="36"/>
      <c r="D27" s="230"/>
    </row>
    <row r="28" spans="1:7" s="15" customFormat="1">
      <c r="A28" s="232" t="s">
        <v>745</v>
      </c>
      <c r="B28" s="37">
        <f>aantalHuishoudens2011</f>
        <v>5809</v>
      </c>
      <c r="C28" s="36"/>
      <c r="D28" s="230"/>
    </row>
    <row r="29" spans="1:7" s="15" customFormat="1">
      <c r="A29" s="232" t="s">
        <v>746</v>
      </c>
      <c r="B29" s="37">
        <f>SUM(HH_hh_gas_aantal,HH_rest_gas_aantal)</f>
        <v>3248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3248</v>
      </c>
      <c r="C32" s="169">
        <f>IF(ISERROR(B32/SUM($B$32,$B$34,$B$35,$B$36,$B$38,$B$39)*100),0,B32/SUM($B$32,$B$34,$B$35,$B$36,$B$38,$B$39)*100)</f>
        <v>56.18405120221415</v>
      </c>
      <c r="D32" s="235"/>
      <c r="G32" s="15"/>
    </row>
    <row r="33" spans="1:7">
      <c r="A33" s="173" t="s">
        <v>72</v>
      </c>
      <c r="B33" s="34" t="s">
        <v>111</v>
      </c>
      <c r="C33" s="169"/>
      <c r="D33" s="235"/>
      <c r="G33" s="15"/>
    </row>
    <row r="34" spans="1:7">
      <c r="A34" s="173" t="s">
        <v>73</v>
      </c>
      <c r="B34" s="33">
        <f>IF((($B$28-$B$32-$B$39-$B$77-$B$38)*C20/100)&lt;0,0,($B$28-$B$32-$B$39-$B$77-$B$38)*C20/100)</f>
        <v>186.87452471482888</v>
      </c>
      <c r="C34" s="169">
        <f>IF(ISERROR(B34/SUM($B$32,$B$34,$B$35,$B$36,$B$38,$B$39)*100),0,B34/SUM($B$32,$B$34,$B$35,$B$36,$B$38,$B$39)*100)</f>
        <v>3.2325639978347844</v>
      </c>
      <c r="D34" s="235"/>
      <c r="G34" s="15"/>
    </row>
    <row r="35" spans="1:7">
      <c r="A35" s="173" t="s">
        <v>74</v>
      </c>
      <c r="B35" s="33">
        <f>IF((($B$28-$B$32-$B$39-$B$77-$B$38)*C21/100)&lt;0,0,($B$28-$B$32-$B$39-$B$77-$B$38)*C21/100)</f>
        <v>777.22813688212921</v>
      </c>
      <c r="C35" s="169">
        <f>IF(ISERROR(B35/SUM($B$32,$B$34,$B$35,$B$36,$B$38,$B$39)*100),0,B35/SUM($B$32,$B$34,$B$35,$B$36,$B$38,$B$39)*100)</f>
        <v>13.444527536449216</v>
      </c>
      <c r="D35" s="235"/>
      <c r="G35" s="15"/>
    </row>
    <row r="36" spans="1:7">
      <c r="A36" s="173" t="s">
        <v>75</v>
      </c>
      <c r="B36" s="33">
        <f>IF((($B$28-$B$32-$B$39-$B$77-$B$38)*C22/100)&lt;0,0,($B$28-$B$32-$B$39-$B$77-$B$38)*C22/100)</f>
        <v>152.89733840304183</v>
      </c>
      <c r="C36" s="169">
        <f>IF(ISERROR(B36/SUM($B$32,$B$34,$B$35,$B$36,$B$38,$B$39)*100),0,B36/SUM($B$32,$B$34,$B$35,$B$36,$B$38,$B$39)*100)</f>
        <v>2.6448250891375511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1416</v>
      </c>
      <c r="C39" s="169">
        <f>IF(ISERROR(B39/SUM($B$32,$B$34,$B$35,$B$36,$B$38,$B$39)*100),0,B39/SUM($B$32,$B$34,$B$35,$B$36,$B$38,$B$39)*100)</f>
        <v>24.494032174364296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3248</v>
      </c>
      <c r="C44" s="34" t="s">
        <v>111</v>
      </c>
      <c r="D44" s="176"/>
    </row>
    <row r="45" spans="1:7">
      <c r="A45" s="173" t="s">
        <v>72</v>
      </c>
      <c r="B45" s="33" t="str">
        <f t="shared" si="0"/>
        <v>-</v>
      </c>
      <c r="C45" s="34" t="s">
        <v>111</v>
      </c>
      <c r="D45" s="176"/>
    </row>
    <row r="46" spans="1:7">
      <c r="A46" s="173" t="s">
        <v>73</v>
      </c>
      <c r="B46" s="33">
        <f t="shared" si="0"/>
        <v>186.87452471482888</v>
      </c>
      <c r="C46" s="34" t="s">
        <v>111</v>
      </c>
      <c r="D46" s="176"/>
    </row>
    <row r="47" spans="1:7">
      <c r="A47" s="173" t="s">
        <v>74</v>
      </c>
      <c r="B47" s="33">
        <f t="shared" si="0"/>
        <v>777.22813688212921</v>
      </c>
      <c r="C47" s="34" t="s">
        <v>111</v>
      </c>
      <c r="D47" s="176"/>
    </row>
    <row r="48" spans="1:7">
      <c r="A48" s="173" t="s">
        <v>75</v>
      </c>
      <c r="B48" s="33">
        <f t="shared" si="0"/>
        <v>152.89733840304183</v>
      </c>
      <c r="C48" s="33">
        <f>B48*10</f>
        <v>1528.9733840304184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1416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20827.957978153074</v>
      </c>
      <c r="C5" s="17">
        <f>IF(ISERROR('Eigen informatie GS &amp; warmtenet'!B58),0,'Eigen informatie GS &amp; warmtenet'!B58)</f>
        <v>0</v>
      </c>
      <c r="D5" s="30">
        <f>SUM(D6:D12)</f>
        <v>29287.792759000076</v>
      </c>
      <c r="E5" s="17">
        <f>SUM(E6:E12)</f>
        <v>149.56538044977583</v>
      </c>
      <c r="F5" s="17">
        <f>SUM(F6:F12)</f>
        <v>3843.53878951964</v>
      </c>
      <c r="G5" s="18"/>
      <c r="H5" s="17"/>
      <c r="I5" s="17"/>
      <c r="J5" s="17">
        <f>SUM(J6:J12)</f>
        <v>0</v>
      </c>
      <c r="K5" s="17"/>
      <c r="L5" s="17"/>
      <c r="M5" s="17"/>
      <c r="N5" s="17">
        <f>SUM(N6:N12)</f>
        <v>1455.9184845901093</v>
      </c>
      <c r="O5" s="17">
        <f>B38*B39*B40</f>
        <v>0</v>
      </c>
      <c r="P5" s="17">
        <f>B46*B47*B48/1000-B46*B47*B48/1000/B49</f>
        <v>19.066666666666666</v>
      </c>
      <c r="R5" s="32"/>
    </row>
    <row r="6" spans="1:18">
      <c r="A6" s="32" t="s">
        <v>54</v>
      </c>
      <c r="B6" s="37">
        <f>B26</f>
        <v>2216.81971482055</v>
      </c>
      <c r="C6" s="33"/>
      <c r="D6" s="37">
        <f>IF(ISERROR(TER_kantoor_gas_kWh/1000),0,TER_kantoor_gas_kWh/1000)*0.902</f>
        <v>4905.7337593710217</v>
      </c>
      <c r="E6" s="33">
        <f>$C$26*'E Balans VL '!I12/100/3.6*1000000</f>
        <v>8.6128139201567908</v>
      </c>
      <c r="F6" s="33">
        <f>$C$26*('E Balans VL '!L12+'E Balans VL '!N12)/100/3.6*1000000</f>
        <v>337.15810717300837</v>
      </c>
      <c r="G6" s="34"/>
      <c r="H6" s="33"/>
      <c r="I6" s="33"/>
      <c r="J6" s="33">
        <f>$C$26*('E Balans VL '!D12+'E Balans VL '!E12)/100/3.6*1000000</f>
        <v>0</v>
      </c>
      <c r="K6" s="33"/>
      <c r="L6" s="33"/>
      <c r="M6" s="33"/>
      <c r="N6" s="33">
        <f>$C$26*'E Balans VL '!Y12/100/3.6*1000000</f>
        <v>1.2217332313278191</v>
      </c>
      <c r="O6" s="33"/>
      <c r="P6" s="33"/>
      <c r="R6" s="32"/>
    </row>
    <row r="7" spans="1:18">
      <c r="A7" s="32" t="s">
        <v>53</v>
      </c>
      <c r="B7" s="37">
        <f t="shared" ref="B7:B12" si="0">B27</f>
        <v>1019.3754524705399</v>
      </c>
      <c r="C7" s="33"/>
      <c r="D7" s="37">
        <f>IF(ISERROR(TER_horeca_gas_kWh/1000),0,TER_horeca_gas_kWh/1000)*0.902</f>
        <v>1561.3851431285279</v>
      </c>
      <c r="E7" s="33">
        <f>$C$27*'E Balans VL '!I9/100/3.6*1000000</f>
        <v>57.421691773507078</v>
      </c>
      <c r="F7" s="33">
        <f>$C$27*('E Balans VL '!L9+'E Balans VL '!N9)/100/3.6*1000000</f>
        <v>293.9268517300053</v>
      </c>
      <c r="G7" s="34"/>
      <c r="H7" s="33"/>
      <c r="I7" s="33"/>
      <c r="J7" s="33">
        <f>$C$27*('E Balans VL '!D9+'E Balans VL '!E9)/100/3.6*1000000</f>
        <v>0</v>
      </c>
      <c r="K7" s="33"/>
      <c r="L7" s="33"/>
      <c r="M7" s="33"/>
      <c r="N7" s="33">
        <f>$C$27*'E Balans VL '!Y9/100/3.6*1000000</f>
        <v>0.28144426525387023</v>
      </c>
      <c r="O7" s="33"/>
      <c r="P7" s="33"/>
      <c r="R7" s="32"/>
    </row>
    <row r="8" spans="1:18">
      <c r="A8" s="6" t="s">
        <v>52</v>
      </c>
      <c r="B8" s="37">
        <f t="shared" si="0"/>
        <v>2354.7509623032797</v>
      </c>
      <c r="C8" s="33"/>
      <c r="D8" s="37">
        <f>IF(ISERROR(TER_handel_gas_kWh/1000),0,TER_handel_gas_kWh/1000)*0.902</f>
        <v>1131.0920824099508</v>
      </c>
      <c r="E8" s="33">
        <f>$C$28*'E Balans VL '!I13/100/3.6*1000000</f>
        <v>33.93995024210659</v>
      </c>
      <c r="F8" s="33">
        <f>$C$28*('E Balans VL '!L13+'E Balans VL '!N13)/100/3.6*1000000</f>
        <v>409.07508060155612</v>
      </c>
      <c r="G8" s="34"/>
      <c r="H8" s="33"/>
      <c r="I8" s="33"/>
      <c r="J8" s="33">
        <f>$C$28*('E Balans VL '!D13+'E Balans VL '!E13)/100/3.6*1000000</f>
        <v>0</v>
      </c>
      <c r="K8" s="33"/>
      <c r="L8" s="33"/>
      <c r="M8" s="33"/>
      <c r="N8" s="33">
        <f>$C$28*'E Balans VL '!Y13/100/3.6*1000000</f>
        <v>7.0550960193377978</v>
      </c>
      <c r="O8" s="33"/>
      <c r="P8" s="33"/>
      <c r="R8" s="32"/>
    </row>
    <row r="9" spans="1:18">
      <c r="A9" s="32" t="s">
        <v>51</v>
      </c>
      <c r="B9" s="37">
        <f t="shared" si="0"/>
        <v>11069.7723738931</v>
      </c>
      <c r="C9" s="33"/>
      <c r="D9" s="37">
        <f>IF(ISERROR(TER_gezond_gas_kWh/1000),0,TER_gezond_gas_kWh/1000)*0.902</f>
        <v>15279.077353839933</v>
      </c>
      <c r="E9" s="33">
        <f>$C$29*'E Balans VL '!I10/100/3.6*1000000</f>
        <v>11.825386074949858</v>
      </c>
      <c r="F9" s="33">
        <f>$C$29*('E Balans VL '!L10+'E Balans VL '!N10)/100/3.6*1000000</f>
        <v>1805.8162971887609</v>
      </c>
      <c r="G9" s="34"/>
      <c r="H9" s="33"/>
      <c r="I9" s="33"/>
      <c r="J9" s="33">
        <f>$C$29*('E Balans VL '!D10+'E Balans VL '!E10)/100/3.6*1000000</f>
        <v>0</v>
      </c>
      <c r="K9" s="33"/>
      <c r="L9" s="33"/>
      <c r="M9" s="33"/>
      <c r="N9" s="33">
        <f>$C$29*'E Balans VL '!Y10/100/3.6*1000000</f>
        <v>113.95699030312473</v>
      </c>
      <c r="O9" s="33"/>
      <c r="P9" s="33"/>
      <c r="R9" s="32"/>
    </row>
    <row r="10" spans="1:18">
      <c r="A10" s="32" t="s">
        <v>50</v>
      </c>
      <c r="B10" s="37">
        <f t="shared" si="0"/>
        <v>1631.4848062108499</v>
      </c>
      <c r="C10" s="33"/>
      <c r="D10" s="37">
        <f>IF(ISERROR(TER_ander_gas_kWh/1000),0,TER_ander_gas_kWh/1000)*0.902</f>
        <v>1773.7184912519099</v>
      </c>
      <c r="E10" s="33">
        <f>$C$30*'E Balans VL '!I14/100/3.6*1000000</f>
        <v>7.5029504565023171</v>
      </c>
      <c r="F10" s="33">
        <f>$C$30*('E Balans VL '!L14+'E Balans VL '!N14)/100/3.6*1000000</f>
        <v>489.00745807746569</v>
      </c>
      <c r="G10" s="34"/>
      <c r="H10" s="33"/>
      <c r="I10" s="33"/>
      <c r="J10" s="33">
        <f>$C$30*('E Balans VL '!D14+'E Balans VL '!E14)/100/3.6*1000000</f>
        <v>0</v>
      </c>
      <c r="K10" s="33"/>
      <c r="L10" s="33"/>
      <c r="M10" s="33"/>
      <c r="N10" s="33">
        <f>$C$30*'E Balans VL '!Y14/100/3.6*1000000</f>
        <v>1135.6211206889084</v>
      </c>
      <c r="O10" s="33"/>
      <c r="P10" s="33"/>
      <c r="R10" s="32"/>
    </row>
    <row r="11" spans="1:18">
      <c r="A11" s="32" t="s">
        <v>55</v>
      </c>
      <c r="B11" s="37">
        <f t="shared" si="0"/>
        <v>44.176146313453103</v>
      </c>
      <c r="C11" s="33"/>
      <c r="D11" s="37">
        <f>IF(ISERROR(TER_onderwijs_gas_kWh/1000),0,TER_onderwijs_gas_kWh/1000)*0.902</f>
        <v>0</v>
      </c>
      <c r="E11" s="33">
        <f>$C$31*'E Balans VL '!I11/100/3.6*1000000</f>
        <v>4.0979185256756048E-2</v>
      </c>
      <c r="F11" s="33">
        <f>$C$31*('E Balans VL '!L11+'E Balans VL '!N11)/100/3.6*1000000</f>
        <v>15.518064884190414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2491.5785221413003</v>
      </c>
      <c r="C12" s="33"/>
      <c r="D12" s="37">
        <f>IF(ISERROR(TER_rest_gas_kWh/1000),0,TER_rest_gas_kWh/1000)*0.902</f>
        <v>4636.7859289987318</v>
      </c>
      <c r="E12" s="33">
        <f>$C$32*'E Balans VL '!I8/100/3.6*1000000</f>
        <v>30.22160879729643</v>
      </c>
      <c r="F12" s="33">
        <f>$C$32*('E Balans VL '!L8+'E Balans VL '!N8)/100/3.6*1000000</f>
        <v>493.03692986465279</v>
      </c>
      <c r="G12" s="34"/>
      <c r="H12" s="33"/>
      <c r="I12" s="33"/>
      <c r="J12" s="33">
        <f>$C$32*('E Balans VL '!D8+'E Balans VL '!E8)/100/3.6*1000000</f>
        <v>0</v>
      </c>
      <c r="K12" s="33"/>
      <c r="L12" s="33"/>
      <c r="M12" s="33"/>
      <c r="N12" s="33">
        <f>$C$32*'E Balans VL '!Y8/100/3.6*1000000</f>
        <v>197.78210008215652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20827.957978153074</v>
      </c>
      <c r="C16" s="21">
        <f t="shared" ca="1" si="1"/>
        <v>0</v>
      </c>
      <c r="D16" s="21">
        <f t="shared" ca="1" si="1"/>
        <v>29287.792759000076</v>
      </c>
      <c r="E16" s="21">
        <f t="shared" si="1"/>
        <v>149.56538044977583</v>
      </c>
      <c r="F16" s="21">
        <f t="shared" ca="1" si="1"/>
        <v>3843.53878951964</v>
      </c>
      <c r="G16" s="21">
        <f t="shared" si="1"/>
        <v>0</v>
      </c>
      <c r="H16" s="21">
        <f t="shared" si="1"/>
        <v>0</v>
      </c>
      <c r="I16" s="21">
        <f t="shared" si="1"/>
        <v>0</v>
      </c>
      <c r="J16" s="21">
        <f t="shared" si="1"/>
        <v>0</v>
      </c>
      <c r="K16" s="21">
        <f t="shared" si="1"/>
        <v>0</v>
      </c>
      <c r="L16" s="21">
        <f t="shared" ca="1" si="1"/>
        <v>0</v>
      </c>
      <c r="M16" s="21">
        <f t="shared" si="1"/>
        <v>0</v>
      </c>
      <c r="N16" s="21">
        <f t="shared" ca="1" si="1"/>
        <v>1455.9184845901093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0.21035815095575711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4381.3307284684897</v>
      </c>
      <c r="C20" s="23">
        <f t="shared" ref="C20:P20" ca="1" si="2">C16*C18</f>
        <v>0</v>
      </c>
      <c r="D20" s="23">
        <f t="shared" ca="1" si="2"/>
        <v>5916.1341373180157</v>
      </c>
      <c r="E20" s="23">
        <f t="shared" si="2"/>
        <v>33.951341362099114</v>
      </c>
      <c r="F20" s="23">
        <f t="shared" ca="1" si="2"/>
        <v>1026.224856801744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2216.81971482055</v>
      </c>
      <c r="C26" s="39">
        <f>IF(ISERROR(B26*3.6/1000000/'E Balans VL '!Z12*100),0,B26*3.6/1000000/'E Balans VL '!Z12*100)</f>
        <v>4.7086348812528087E-2</v>
      </c>
      <c r="D26" s="239" t="s">
        <v>692</v>
      </c>
      <c r="F26" s="6"/>
    </row>
    <row r="27" spans="1:18">
      <c r="A27" s="233" t="s">
        <v>53</v>
      </c>
      <c r="B27" s="33">
        <f>IF(ISERROR(TER_horeca_ele_kWh/1000),0,TER_horeca_ele_kWh/1000)</f>
        <v>1019.3754524705399</v>
      </c>
      <c r="C27" s="39">
        <f>IF(ISERROR(B27*3.6/1000000/'E Balans VL '!Z9*100),0,B27*3.6/1000000/'E Balans VL '!Z9*100)</f>
        <v>7.9262649505902824E-2</v>
      </c>
      <c r="D27" s="239" t="s">
        <v>692</v>
      </c>
      <c r="F27" s="6"/>
    </row>
    <row r="28" spans="1:18">
      <c r="A28" s="173" t="s">
        <v>52</v>
      </c>
      <c r="B28" s="33">
        <f>IF(ISERROR(TER_handel_ele_kWh/1000),0,TER_handel_ele_kWh/1000)</f>
        <v>2354.7509623032797</v>
      </c>
      <c r="C28" s="39">
        <f>IF(ISERROR(B28*3.6/1000000/'E Balans VL '!Z13*100),0,B28*3.6/1000000/'E Balans VL '!Z13*100)</f>
        <v>6.737219629615579E-2</v>
      </c>
      <c r="D28" s="239" t="s">
        <v>692</v>
      </c>
      <c r="F28" s="6"/>
    </row>
    <row r="29" spans="1:18">
      <c r="A29" s="233" t="s">
        <v>51</v>
      </c>
      <c r="B29" s="33">
        <f>IF(ISERROR(TER_gezond_ele_kWh/1000),0,TER_gezond_ele_kWh/1000)</f>
        <v>11069.7723738931</v>
      </c>
      <c r="C29" s="39">
        <f>IF(ISERROR(B29*3.6/1000000/'E Balans VL '!Z10*100),0,B29*3.6/1000000/'E Balans VL '!Z10*100)</f>
        <v>1.2068624194141742</v>
      </c>
      <c r="D29" s="239" t="s">
        <v>692</v>
      </c>
      <c r="F29" s="6"/>
    </row>
    <row r="30" spans="1:18">
      <c r="A30" s="233" t="s">
        <v>50</v>
      </c>
      <c r="B30" s="33">
        <f>IF(ISERROR(TER_ander_ele_kWh/1000),0,TER_ander_ele_kWh/1000)</f>
        <v>1631.4848062108499</v>
      </c>
      <c r="C30" s="39">
        <f>IF(ISERROR(B30*3.6/1000000/'E Balans VL '!Z14*100),0,B30*3.6/1000000/'E Balans VL '!Z14*100)</f>
        <v>0.11938835718295945</v>
      </c>
      <c r="D30" s="239" t="s">
        <v>692</v>
      </c>
      <c r="F30" s="6"/>
    </row>
    <row r="31" spans="1:18">
      <c r="A31" s="233" t="s">
        <v>55</v>
      </c>
      <c r="B31" s="33">
        <f>IF(ISERROR(TER_onderwijs_ele_kWh/1000),0,TER_onderwijs_ele_kWh/1000)</f>
        <v>44.176146313453103</v>
      </c>
      <c r="C31" s="39">
        <f>IF(ISERROR(B31*3.6/1000000/'E Balans VL '!Z11*100),0,B31*3.6/1000000/'E Balans VL '!Z11*100)</f>
        <v>8.8728117913587316E-3</v>
      </c>
      <c r="D31" s="239" t="s">
        <v>692</v>
      </c>
    </row>
    <row r="32" spans="1:18">
      <c r="A32" s="233" t="s">
        <v>260</v>
      </c>
      <c r="B32" s="33">
        <f>IF(ISERROR(TER_rest_ele_kWh/1000),0,TER_rest_ele_kWh/1000)</f>
        <v>2491.5785221413003</v>
      </c>
      <c r="C32" s="39">
        <f>IF(ISERROR(B32*3.6/1000000/'E Balans VL '!Z8*100),0,B32*3.6/1000000/'E Balans VL '!Z8*100)</f>
        <v>2.0304852893273169E-2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2182.6462187626721</v>
      </c>
      <c r="C5" s="17">
        <f>IF(ISERROR('Eigen informatie GS &amp; warmtenet'!B59),0,'Eigen informatie GS &amp; warmtenet'!B59)</f>
        <v>0</v>
      </c>
      <c r="D5" s="30">
        <f>SUM(D6:D15)</f>
        <v>2514.2398348996685</v>
      </c>
      <c r="E5" s="17">
        <f>SUM(E6:E15)</f>
        <v>280.0641518058768</v>
      </c>
      <c r="F5" s="17">
        <f>SUM(F6:F15)</f>
        <v>1972.9391219261015</v>
      </c>
      <c r="G5" s="18"/>
      <c r="H5" s="17"/>
      <c r="I5" s="17"/>
      <c r="J5" s="17">
        <f>SUM(J6:J15)</f>
        <v>1.4016395351471476</v>
      </c>
      <c r="K5" s="17"/>
      <c r="L5" s="17"/>
      <c r="M5" s="17"/>
      <c r="N5" s="17">
        <f>SUM(N6:N15)</f>
        <v>591.75405194492646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64.674276874520004</v>
      </c>
      <c r="C8" s="33"/>
      <c r="D8" s="37">
        <f>IF( ISERROR(IND_metaal_Gas_kWH/1000),0,IND_metaal_Gas_kWH/1000)*0.902</f>
        <v>0</v>
      </c>
      <c r="E8" s="33">
        <f>C30*'E Balans VL '!I18/100/3.6*1000000</f>
        <v>1.8576879892904667</v>
      </c>
      <c r="F8" s="33">
        <f>C30*'E Balans VL '!L18/100/3.6*1000000+C30*'E Balans VL '!N18/100/3.6*1000000</f>
        <v>16.587708153212635</v>
      </c>
      <c r="G8" s="34"/>
      <c r="H8" s="33"/>
      <c r="I8" s="33"/>
      <c r="J8" s="40">
        <f>C30*'E Balans VL '!D18/100/3.6*1000000+C30*'E Balans VL '!E18/100/3.6*1000000</f>
        <v>0</v>
      </c>
      <c r="K8" s="33"/>
      <c r="L8" s="33"/>
      <c r="M8" s="33"/>
      <c r="N8" s="33">
        <f>C30*'E Balans VL '!Y18/100/3.6*1000000</f>
        <v>1.7560386360464564</v>
      </c>
      <c r="O8" s="33"/>
      <c r="P8" s="33"/>
      <c r="R8" s="32"/>
    </row>
    <row r="9" spans="1:18">
      <c r="A9" s="6" t="s">
        <v>33</v>
      </c>
      <c r="B9" s="37">
        <f t="shared" si="0"/>
        <v>631.52170700912598</v>
      </c>
      <c r="C9" s="33"/>
      <c r="D9" s="37">
        <f>IF( ISERROR(IND_andere_gas_kWh/1000),0,IND_andere_gas_kWh/1000)*0.902</f>
        <v>608.73515935358967</v>
      </c>
      <c r="E9" s="33">
        <f>C31*'E Balans VL '!I19/100/3.6*1000000</f>
        <v>170.93739883761779</v>
      </c>
      <c r="F9" s="33">
        <f>C31*'E Balans VL '!L19/100/3.6*1000000+C31*'E Balans VL '!N19/100/3.6*1000000</f>
        <v>420.66028582459694</v>
      </c>
      <c r="G9" s="34"/>
      <c r="H9" s="33"/>
      <c r="I9" s="33"/>
      <c r="J9" s="40">
        <f>C31*'E Balans VL '!D19/100/3.6*1000000+C31*'E Balans VL '!E19/100/3.6*1000000</f>
        <v>0</v>
      </c>
      <c r="K9" s="33"/>
      <c r="L9" s="33"/>
      <c r="M9" s="33"/>
      <c r="N9" s="33">
        <f>C31*'E Balans VL '!Y19/100/3.6*1000000</f>
        <v>206.1813468648262</v>
      </c>
      <c r="O9" s="33"/>
      <c r="P9" s="33"/>
      <c r="R9" s="32"/>
    </row>
    <row r="10" spans="1:18">
      <c r="A10" s="6" t="s">
        <v>41</v>
      </c>
      <c r="B10" s="37">
        <f t="shared" si="0"/>
        <v>944.46375708712606</v>
      </c>
      <c r="C10" s="33"/>
      <c r="D10" s="37">
        <f>IF( ISERROR(IND_voed_gas_kWh/1000),0,IND_voed_gas_kWh/1000)*0.902</f>
        <v>1462.4010734405347</v>
      </c>
      <c r="E10" s="33">
        <f>C32*'E Balans VL '!I20/100/3.6*1000000</f>
        <v>77.032633877045512</v>
      </c>
      <c r="F10" s="33">
        <f>C32*'E Balans VL '!L20/100/3.6*1000000+C32*'E Balans VL '!N20/100/3.6*1000000</f>
        <v>1408.2811510771517</v>
      </c>
      <c r="G10" s="34"/>
      <c r="H10" s="33"/>
      <c r="I10" s="33"/>
      <c r="J10" s="40">
        <f>C32*'E Balans VL '!D20/100/3.6*1000000+C32*'E Balans VL '!E20/100/3.6*1000000</f>
        <v>1.2494109081055218E-2</v>
      </c>
      <c r="K10" s="33"/>
      <c r="L10" s="33"/>
      <c r="M10" s="33"/>
      <c r="N10" s="33">
        <f>C32*'E Balans VL '!Y20/100/3.6*1000000</f>
        <v>277.45012529973872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541.98647779190003</v>
      </c>
      <c r="C15" s="33"/>
      <c r="D15" s="37">
        <f>IF( ISERROR(IND_rest_gas_kWh/1000),0,IND_rest_gas_kWh/1000)*0.902</f>
        <v>443.10360210554444</v>
      </c>
      <c r="E15" s="33">
        <f>C37*'E Balans VL '!I15/100/3.6*1000000</f>
        <v>30.236431101923028</v>
      </c>
      <c r="F15" s="33">
        <f>C37*'E Balans VL '!L15/100/3.6*1000000+C37*'E Balans VL '!N15/100/3.6*1000000</f>
        <v>127.40997687114042</v>
      </c>
      <c r="G15" s="34"/>
      <c r="H15" s="33"/>
      <c r="I15" s="33"/>
      <c r="J15" s="40">
        <f>C37*'E Balans VL '!D15/100/3.6*1000000+C37*'E Balans VL '!E15/100/3.6*1000000</f>
        <v>1.3891454260660923</v>
      </c>
      <c r="K15" s="33"/>
      <c r="L15" s="33"/>
      <c r="M15" s="33"/>
      <c r="N15" s="33">
        <f>C37*'E Balans VL '!Y15/100/3.6*1000000</f>
        <v>106.36654114431509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2182.6462187626721</v>
      </c>
      <c r="C18" s="21">
        <f>C5+C16</f>
        <v>0</v>
      </c>
      <c r="D18" s="21">
        <f>MAX((D5+D16),0)</f>
        <v>2514.2398348996685</v>
      </c>
      <c r="E18" s="21">
        <f>MAX((E5+E16),0)</f>
        <v>280.0641518058768</v>
      </c>
      <c r="F18" s="21">
        <f>MAX((F5+F16),0)</f>
        <v>1972.9391219261015</v>
      </c>
      <c r="G18" s="21"/>
      <c r="H18" s="21"/>
      <c r="I18" s="21"/>
      <c r="J18" s="21">
        <f>MAX((J5+J16),0)</f>
        <v>1.4016395351471476</v>
      </c>
      <c r="K18" s="21"/>
      <c r="L18" s="21">
        <f>MAX((L5+L16),0)</f>
        <v>0</v>
      </c>
      <c r="M18" s="21"/>
      <c r="N18" s="21">
        <f>MAX((N5+N16),0)</f>
        <v>591.75405194492646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0.21035815095575711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459.13742276949063</v>
      </c>
      <c r="C22" s="23">
        <f ca="1">C18*C20</f>
        <v>0</v>
      </c>
      <c r="D22" s="23">
        <f>D18*D20</f>
        <v>507.87644664973305</v>
      </c>
      <c r="E22" s="23">
        <f>E18*E20</f>
        <v>63.574562459934036</v>
      </c>
      <c r="F22" s="23">
        <f>F18*F20</f>
        <v>526.77474555426909</v>
      </c>
      <c r="G22" s="23"/>
      <c r="H22" s="23"/>
      <c r="I22" s="23"/>
      <c r="J22" s="23">
        <f>J18*J20</f>
        <v>0.49618039544209019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64.674276874520004</v>
      </c>
      <c r="C30" s="39">
        <f>IF(ISERROR(B30*3.6/1000000/'E Balans VL '!Z18*100),0,B30*3.6/1000000/'E Balans VL '!Z18*100)</f>
        <v>6.3637837486107511E-3</v>
      </c>
      <c r="D30" s="239" t="s">
        <v>692</v>
      </c>
    </row>
    <row r="31" spans="1:18">
      <c r="A31" s="6" t="s">
        <v>33</v>
      </c>
      <c r="B31" s="37">
        <f>IF( ISERROR(IND_ander_ele_kWh/1000),0,IND_ander_ele_kWh/1000)</f>
        <v>631.52170700912598</v>
      </c>
      <c r="C31" s="39">
        <f>IF(ISERROR(B31*3.6/1000000/'E Balans VL '!Z19*100),0,B31*3.6/1000000/'E Balans VL '!Z19*100)</f>
        <v>2.7502266580344117E-2</v>
      </c>
      <c r="D31" s="239" t="s">
        <v>692</v>
      </c>
    </row>
    <row r="32" spans="1:18">
      <c r="A32" s="173" t="s">
        <v>41</v>
      </c>
      <c r="B32" s="37">
        <f>IF( ISERROR(IND_voed_ele_kWh/1000),0,IND_voed_ele_kWh/1000)</f>
        <v>944.46375708712606</v>
      </c>
      <c r="C32" s="39">
        <f>IF(ISERROR(B32*3.6/1000000/'E Balans VL '!Z20*100),0,B32*3.6/1000000/'E Balans VL '!Z20*100)</f>
        <v>0.17919837725815541</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541.98647779190003</v>
      </c>
      <c r="C37" s="39">
        <f>IF(ISERROR(B37*3.6/1000000/'E Balans VL '!Z15*100),0,B37*3.6/1000000/'E Balans VL '!Z15*100)</f>
        <v>4.1766715080003933E-3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179.548004142487</v>
      </c>
      <c r="C5" s="17">
        <f>'Eigen informatie GS &amp; warmtenet'!B60</f>
        <v>0</v>
      </c>
      <c r="D5" s="30">
        <f>IF(ISERROR(SUM(LB_lb_gas_kWh,LB_rest_gas_kWh,onbekend_gas_kWh)/1000),0,SUM(LB_lb_gas_kWh,LB_rest_gas_kWh,onbekend_gas_kWh)/1000)*0.902</f>
        <v>1986.0363543613551</v>
      </c>
      <c r="E5" s="17">
        <f>B17*'E Balans VL '!I25/3.6*1000000/100</f>
        <v>2.262536157053709</v>
      </c>
      <c r="F5" s="17">
        <f>B17*('E Balans VL '!L25/3.6*1000000+'E Balans VL '!N25/3.6*1000000)/100</f>
        <v>619.485593754251</v>
      </c>
      <c r="G5" s="18"/>
      <c r="H5" s="17"/>
      <c r="I5" s="17"/>
      <c r="J5" s="17">
        <f>('E Balans VL '!D25+'E Balans VL '!E25)/3.6*1000000*landbouw!B17/100</f>
        <v>27.001978793353597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179.548004142487</v>
      </c>
      <c r="C8" s="21">
        <f>C5+C6</f>
        <v>0</v>
      </c>
      <c r="D8" s="21">
        <f>MAX((D5+D6),0)</f>
        <v>1986.0363543613551</v>
      </c>
      <c r="E8" s="21">
        <f>MAX((E5+E6),0)</f>
        <v>2.262536157053709</v>
      </c>
      <c r="F8" s="21">
        <f>MAX((F5+F6),0)</f>
        <v>619.485593754251</v>
      </c>
      <c r="G8" s="21"/>
      <c r="H8" s="21"/>
      <c r="I8" s="21"/>
      <c r="J8" s="21">
        <f>MAX((J5+J6),0)</f>
        <v>27.001978793353597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0.21035815095575711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37.769386159210185</v>
      </c>
      <c r="C12" s="23">
        <f ca="1">C8*C10</f>
        <v>0</v>
      </c>
      <c r="D12" s="23">
        <f>D8*D10</f>
        <v>401.17934358099376</v>
      </c>
      <c r="E12" s="23">
        <f>E8*E10</f>
        <v>0.513595707651192</v>
      </c>
      <c r="F12" s="23">
        <f>F8*F10</f>
        <v>165.40265353238502</v>
      </c>
      <c r="G12" s="23"/>
      <c r="H12" s="23"/>
      <c r="I12" s="23"/>
      <c r="J12" s="23">
        <f>J8*J10</f>
        <v>9.5587004928471728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2.5041287553271809E-2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46.157875207247585</v>
      </c>
      <c r="C26" s="249">
        <f>B26*'GWP N2O_CH4'!B5</f>
        <v>969.31537935219933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5.8551450893773342</v>
      </c>
      <c r="C27" s="249">
        <f>B27*'GWP N2O_CH4'!B5</f>
        <v>122.95804687692402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0.5885085431388215</v>
      </c>
      <c r="C28" s="249">
        <f>B28*'GWP N2O_CH4'!B4</f>
        <v>182.43764837303468</v>
      </c>
      <c r="D28" s="50"/>
    </row>
    <row r="29" spans="1:4">
      <c r="A29" s="41" t="s">
        <v>277</v>
      </c>
      <c r="B29" s="249">
        <f>B34*'ha_N2O bodem landbouw'!B4</f>
        <v>4.7533860762314335</v>
      </c>
      <c r="C29" s="249">
        <f>B29*'GWP N2O_CH4'!B4</f>
        <v>1473.5496836317443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1.1868730060756595E-3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2.0027896886264336E-5</v>
      </c>
      <c r="C5" s="448" t="s">
        <v>211</v>
      </c>
      <c r="D5" s="433">
        <f>SUM(D6:D11)</f>
        <v>3.0324225625175481E-5</v>
      </c>
      <c r="E5" s="433">
        <f>SUM(E6:E11)</f>
        <v>9.4130370383273352E-4</v>
      </c>
      <c r="F5" s="446" t="s">
        <v>211</v>
      </c>
      <c r="G5" s="433">
        <f>SUM(G6:G11)</f>
        <v>0.21124891277924449</v>
      </c>
      <c r="H5" s="433">
        <f>SUM(H6:H11)</f>
        <v>4.564437012759899E-2</v>
      </c>
      <c r="I5" s="448" t="s">
        <v>211</v>
      </c>
      <c r="J5" s="448" t="s">
        <v>211</v>
      </c>
      <c r="K5" s="448" t="s">
        <v>211</v>
      </c>
      <c r="L5" s="448" t="s">
        <v>211</v>
      </c>
      <c r="M5" s="433">
        <f>SUM(M6:M11)</f>
        <v>1.1617248215303948E-2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1.8256266747573627E-5</v>
      </c>
      <c r="C6" s="949"/>
      <c r="D6" s="949">
        <f>vkm_2011_GW_PW*SUMIFS(TableVerdeelsleutelVkm[CNG],TableVerdeelsleutelVkm[Voertuigtype],"Lichte voertuigen")*SUMIFS(TableECFTransport[EnergieConsumptieFactor (PJ per km)],TableECFTransport[Index],CONCATENATE($A6,"_CNG_CNG"))</f>
        <v>2.5854444286432236E-5</v>
      </c>
      <c r="E6" s="949">
        <f>vkm_2011_GW_PW*SUMIFS(TableVerdeelsleutelVkm[LPG],TableVerdeelsleutelVkm[Voertuigtype],"Lichte voertuigen")*SUMIFS(TableECFTransport[EnergieConsumptieFactor (PJ per km)],TableECFTransport[Index],CONCATENATE($A6,"_LPG_LPG"))</f>
        <v>8.1200297995919011E-4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0.14593916979612367</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3.9105574861362215E-2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8.3720155170856521E-3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4.3229267259539232E-2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1.5358910509767816E-5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1.9508000202285683E-3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1.7716301386907098E-6</v>
      </c>
      <c r="C8" s="949"/>
      <c r="D8" s="436">
        <f>vkm_2011_NGW_PW*SUMIFS(TableVerdeelsleutelVkm[CNG],TableVerdeelsleutelVkm[Voertuigtype],"Lichte voertuigen")*SUMIFS(TableECFTransport[EnergieConsumptieFactor (PJ per km)],TableECFTransport[Index],CONCATENATE($A8,"_CNG_CNG"))</f>
        <v>4.469781338743245E-6</v>
      </c>
      <c r="E8" s="436">
        <f>vkm_2011_NGW_PW*SUMIFS(TableVerdeelsleutelVkm[LPG],TableVerdeelsleutelVkm[Voertuigtype],"Lichte voertuigen")*SUMIFS(TableECFTransport[EnergieConsumptieFactor (PJ per km)],TableECFTransport[Index],CONCATENATE($A8,"_LPG_LPG"))</f>
        <v>1.2930072387354338E-4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2.1917726525244974E-2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6.5233816382460575E-3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1.2870884637796965E-3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1.6274919833657672E-4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5.4717480953022657E-8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7.3442142100312238E-6</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5.5633046906289829</v>
      </c>
      <c r="C14" s="21"/>
      <c r="D14" s="21">
        <f t="shared" ref="D14:M14" si="0">((D5)*10^9/3600)+D12</f>
        <v>8.4233960069931886</v>
      </c>
      <c r="E14" s="21">
        <f t="shared" si="0"/>
        <v>261.4732510646482</v>
      </c>
      <c r="F14" s="21"/>
      <c r="G14" s="21">
        <f t="shared" si="0"/>
        <v>58680.253549790134</v>
      </c>
      <c r="H14" s="21">
        <f t="shared" si="0"/>
        <v>12678.991702110832</v>
      </c>
      <c r="I14" s="21"/>
      <c r="J14" s="21"/>
      <c r="K14" s="21"/>
      <c r="L14" s="21"/>
      <c r="M14" s="21">
        <f t="shared" si="0"/>
        <v>3227.0133931399855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0.21035815095575711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1.1702864879242032</v>
      </c>
      <c r="C18" s="23"/>
      <c r="D18" s="23">
        <f t="shared" ref="D18:M18" si="1">D14*D16</f>
        <v>1.7015259934126241</v>
      </c>
      <c r="E18" s="23">
        <f t="shared" si="1"/>
        <v>59.354427991675145</v>
      </c>
      <c r="F18" s="23"/>
      <c r="G18" s="23">
        <f t="shared" si="1"/>
        <v>15667.627697793967</v>
      </c>
      <c r="H18" s="23">
        <f t="shared" si="1"/>
        <v>3157.068933825597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6.1577252842723784E-3</v>
      </c>
      <c r="H50" s="323">
        <f t="shared" si="2"/>
        <v>0</v>
      </c>
      <c r="I50" s="323">
        <f t="shared" si="2"/>
        <v>0</v>
      </c>
      <c r="J50" s="323">
        <f t="shared" si="2"/>
        <v>0</v>
      </c>
      <c r="K50" s="323">
        <f t="shared" si="2"/>
        <v>0</v>
      </c>
      <c r="L50" s="323">
        <f t="shared" si="2"/>
        <v>0</v>
      </c>
      <c r="M50" s="323">
        <f t="shared" si="2"/>
        <v>2.7384910467271906E-4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6.1577252842723784E-3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2.7384910467271906E-4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1710.4792456312161</v>
      </c>
      <c r="H54" s="21">
        <f t="shared" si="3"/>
        <v>0</v>
      </c>
      <c r="I54" s="21">
        <f t="shared" si="3"/>
        <v>0</v>
      </c>
      <c r="J54" s="21">
        <f t="shared" si="3"/>
        <v>0</v>
      </c>
      <c r="K54" s="21">
        <f t="shared" si="3"/>
        <v>0</v>
      </c>
      <c r="L54" s="21">
        <f t="shared" si="3"/>
        <v>0</v>
      </c>
      <c r="M54" s="21">
        <f t="shared" si="3"/>
        <v>76.069195742421968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0.21035815095575711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456.69795858353473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2589.6668580953819</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2589.6668580953819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2019-01-02T18:02:07Z</dcterms:modified>
</cp:coreProperties>
</file>