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<sst xmlns="http://schemas.openxmlformats.org/spreadsheetml/2006/main" count="2151" uniqueCount="878">
  <si>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</si>
  <si>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</si>
  <si>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</si>
  <si>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</si>
  <si>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</si>
  <si>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</si>
  <si>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</si>
  <si>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</si>
  <si>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</si>
  <si>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</si>
  <si>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</si>
  <si>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</si>
  <si>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</si>
  <si>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</si>
  <si>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</si>
  <si>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</si>
  <si>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</si>
  <si>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</si>
  <si>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</si>
  <si>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</si>
  <si>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</si>
  <si>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</si>
  <si>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</si>
  <si>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</si>
  <si>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</si>
  <si>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</si>
  <si>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</si>
  <si>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</si>
  <si>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</si>
  <si>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</si>
  <si>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</si>
  <si>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</si>
  <si>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</si>
  <si>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</si>
  <si>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</si>
  <si>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</si>
  <si>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</si>
  <si>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</si>
  <si>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</si>
  <si>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</si>
  <si>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</si>
  <si>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</si>
  <si>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</si>
  <si>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</si>
  <si>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</si>
  <si>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</si>
  <si>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</si>
  <si>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</si>
  <si>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</si>
  <si>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</si>
  <si>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</si>
  <si>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</si>
  <si>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</si>
  <si>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</si>
  <si>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</si>
  <si>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</si>
  <si>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</si>
  <si>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</si>
  <si>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</si>
  <si>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</si>
  <si>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</si>
  <si>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</si>
  <si>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</si>
  <si>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</si>
  <si>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</si>
  <si>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</si>
  <si>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</si>
  <si>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</si>
  <si>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</si>
  <si>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</si>
  <si>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</si>
  <si>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</si>
  <si>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</si>
  <si>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</si>
  <si>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</si>
  <si>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</si>
  <si>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</si>
  <si>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</si>
  <si>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</si>
  <si>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</si>
  <si>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</si>
  <si>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</si>
  <si>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</si>
  <si>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</si>
  <si>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</si>
  <si>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</si>
  <si>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</si>
  <si>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</si>
  <si>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</si>
  <si>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</si>
  <si>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</si>
  <si>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</si>
  <si>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</si>
  <si>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</si>
  <si>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</si>
  <si>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</si>
  <si>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</si>
  <si>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</si>
  <si>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</si>
  <si>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</si>
  <si>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</si>
  <si>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</si>
  <si>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</si>
  <si>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</si>
  <si>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</si>
  <si>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</si>
  <si>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</si>
  <si>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</si>
  <si>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</si>
  <si>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</si>
  <si>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</si>
  <si>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</si>
  <si>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</si>
  <si>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</si>
  <si>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</si>
  <si>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</si>
  <si>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</si>
  <si>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</si>
  <si>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</si>
  <si>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</si>
  <si>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</si>
  <si>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</si>
  <si>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</si>
  <si>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</si>
  <si>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</si>
  <si>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</si>
  <si>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</si>
  <si>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</si>
  <si>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</si>
  <si>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</si>
  <si>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</si>
  <si>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</si>
  <si>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</si>
  <si>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</si>
  <si>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</si>
  <si>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</si>
  <si>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</si>
  <si>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</si>
  <si>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</si>
  <si>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</si>
  <si>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</si>
  <si>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</si>
  <si>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</si>
  <si>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</si>
  <si>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</si>
  <si>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</si>
  <si>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</si>
  <si>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</si>
  <si>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</si>
  <si>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</si>
  <si>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</si>
  <si>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</si>
  <si>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</si>
  <si>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</si>
  <si>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</si>
  <si>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</si>
  <si>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</si>
  <si>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</si>
  <si>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</si>
  <si>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</si>
  <si>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</si>
  <si>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</si>
  <si>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</si>
  <si>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</si>
  <si>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</si>
  <si>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</si>
  <si>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</si>
  <si>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</si>
  <si>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</si>
  <si>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</si>
  <si>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</si>
  <si>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</si>
  <si>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</si>
  <si>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</si>
  <si>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</si>
  <si>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</si>
  <si>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</si>
  <si>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</si>
  <si>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</si>
  <si>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</si>
  <si>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</si>
  <si>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</si>
  <si>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</si>
  <si>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</si>
  <si>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</si>
  <si>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</si>
  <si>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</si>
  <si>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</si>
  <si>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</si>
  <si>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</si>
  <si>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</si>
  <si>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</si>
  <si>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</si>
  <si>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</si>
  <si>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</si>
  <si>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</si>
  <si>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</si>
  <si>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</si>
  <si>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</si>
  <si>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</si>
  <si>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</si>
  <si>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</si>
  <si>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</si>
  <si>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</si>
  <si>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</si>
  <si>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</si>
  <si>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</si>
  <si>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</si>
  <si>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</si>
  <si>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</si>
  <si>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</si>
  <si>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</si>
  <si>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</si>
  <si>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</si>
  <si>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</si>
  <si>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</si>
  <si>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</si>
  <si>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</si>
  <si>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</si>
  <si>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</si>
  <si>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</si>
  <si>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</si>
  <si>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</si>
  <si>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</si>
  <si>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</si>
  <si>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</si>
  <si>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</si>
  <si>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</si>
  <si>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</si>
  <si>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</si>
  <si>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</si>
  <si>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</si>
  <si>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</si>
  <si>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</si>
  <si>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</si>
  <si>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</si>
  <si>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</si>
  <si>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</si>
  <si>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</si>
  <si>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</si>
  <si>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</si>
  <si>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</si>
  <si>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</si>
  <si>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</si>
  <si>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</si>
  <si>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</si>
  <si>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</si>
  <si>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</si>
  <si>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</si>
  <si>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</si>
  <si>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</si>
  <si>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</si>
  <si>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</si>
  <si>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</si>
  <si>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</si>
  <si>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</si>
  <si>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</si>
  <si>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</si>
  <si>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</si>
  <si>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</si>
  <si>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</si>
  <si>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</si>
  <si>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</si>
  <si>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</si>
  <si>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</si>
  <si>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</si>
  <si>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</si>
  <si>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</si>
  <si>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</si>
  <si>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</si>
  <si>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</si>
  <si>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</si>
  <si>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</si>
  <si>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</si>
  <si>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</si>
  <si>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</si>
  <si>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</si>
  <si>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</si>
  <si>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</si>
  <si>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</si>
  <si>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</si>
  <si>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</si>
  <si>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</si>
  <si>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</si>
  <si>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</si>
  <si>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</si>
  <si>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</si>
  <si>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</si>
  <si>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</si>
  <si>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</si>
  <si>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</si>
  <si>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</si>
  <si>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</si>
  <si>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</si>
  <si>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</si>
  <si>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</si>
  <si>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</si>
  <si>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</si>
  <si>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</si>
  <si>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</si>
  <si>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</si>
  <si>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</si>
  <si>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</si>
  <si>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</si>
  <si>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</si>
  <si>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</si>
  <si>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</si>
  <si>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</si>
  <si>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</si>
  <si>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</si>
  <si>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</si>
  <si>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</si>
  <si>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</si>
  <si>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</si>
  <si>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</si>
  <si>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</si>
  <si>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</si>
  <si>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</si>
  <si>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</si>
  <si>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</si>
  <si>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</si>
  <si>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</si>
  <si>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</si>
  <si>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</si>
  <si>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</si>
  <si>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</si>
  <si>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</si>
  <si>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</si>
  <si>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</si>
  <si>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</si>
  <si>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</si>
  <si>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</si>
  <si>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</si>
  <si>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</si>
  <si>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</si>
  <si>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</si>
  <si>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</si>
  <si>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</si>
  <si>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</si>
  <si>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</si>
  <si>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</si>
  <si>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</si>
  <si>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</si>
  <si>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</si>
  <si>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</si>
  <si>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</si>
  <si>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</si>
  <si>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</si>
  <si>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</si>
  <si>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</si>
  <si>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</si>
  <si>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</si>
  <si>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</si>
  <si>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</si>
  <si>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</si>
  <si>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</si>
  <si>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</si>
  <si>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</si>
  <si>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</si>
  <si>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</si>
  <si>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</si>
  <si>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</si>
  <si>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</si>
  <si>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</si>
  <si>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</si>
  <si>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</si>
  <si>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</si>
  <si>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</si>
  <si>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</si>
  <si>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</si>
  <si>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</si>
  <si>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</si>
  <si>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</si>
  <si>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</si>
  <si>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</si>
  <si>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</si>
  <si>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</si>
  <si>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</si>
  <si>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</si>
  <si>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</si>
  <si>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</si>
  <si>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</si>
  <si>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</si>
  <si>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</si>
  <si>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</si>
  <si>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</si>
  <si>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</si>
  <si>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</si>
  <si>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</si>
  <si>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</si>
  <si>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</si>
  <si>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</si>
  <si>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</si>
  <si>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</si>
  <si>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</si>
  <si>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</si>
  <si>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</si>
  <si>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</si>
  <si>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</si>
  <si>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</si>
  <si>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</si>
  <si>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</si>
  <si>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</si>
  <si>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</si>
  <si>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</si>
  <si>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</si>
  <si>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</si>
  <si>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</si>
  <si>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</si>
  <si>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</si>
  <si>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</si>
  <si>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</si>
  <si>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</si>
  <si>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</si>
  <si>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</si>
  <si>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</si>
  <si>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</si>
  <si>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</si>
  <si>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</si>
  <si>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</si>
  <si>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</si>
  <si>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</si>
  <si>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</si>
  <si>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</si>
  <si>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</si>
  <si>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</si>
  <si>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</si>
  <si>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</si>
  <si>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</si>
  <si>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</si>
  <si>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</si>
  <si>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</si>
  <si>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</si>
  <si>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</si>
  <si>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</si>
  <si>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</si>
  <si>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</si>
  <si>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</si>
  <si>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</si>
  <si>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</si>
  <si>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</si>
  <si>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</si>
  <si>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</si>
  <si>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</si>
  <si>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</si>
  <si>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</si>
  <si>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</si>
  <si>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</si>
  <si>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</si>
  <si>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</si>
  <si>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</si>
  <si>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</si>
  <si>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</si>
  <si>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</si>
  <si>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</si>
  <si>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</si>
  <si>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</si>
  <si>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</si>
  <si>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</si>
  <si>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</si>
  <si>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</si>
  <si>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</si>
  <si>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</si>
  <si>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</si>
  <si>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</si>
  <si>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</si>
  <si>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</si>
  <si>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</si>
  <si>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</si>
  <si>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</si>
  <si>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</si>
  <si>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</si>
  <si>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</si>
  <si>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</si>
  <si>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</si>
  <si>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</si>
  <si>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</si>
  <si>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</si>
  <si>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</si>
  <si>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</si>
  <si>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</si>
  <si>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</si>
  <si>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</si>
  <si>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</si>
  <si>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</si>
  <si>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</si>
  <si>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</si>
  <si>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</si>
  <si>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</si>
  <si>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</si>
  <si>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</si>
  <si>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</si>
  <si>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</si>
  <si>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</si>
  <si>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</si>
  <si>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</si>
  <si>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</si>
  <si>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</si>
  <si>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</si>
  <si>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</si>
  <si>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</si>
  <si>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</si>
  <si>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</si>
  <si>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</si>
  <si>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</si>
  <si>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</si>
  <si>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</si>
  <si>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</si>
  <si>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</si>
  <si>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</si>
  <si>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</si>
  <si>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</si>
  <si>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</si>
  <si>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</si>
  <si>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</si>
  <si>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</si>
  <si>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</si>
  <si>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</si>
  <si>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</si>
  <si>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</si>
  <si>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</si>
  <si>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</si>
  <si>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</si>
  <si>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</si>
  <si>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</si>
  <si>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</si>
  <si>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</si>
  <si>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</si>
  <si>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</si>
  <si>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</si>
  <si>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</si>
  <si>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</si>
  <si>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</si>
  <si>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</si>
  <si>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</si>
  <si>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</si>
  <si>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</si>
  <si>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</si>
  <si>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</si>
  <si>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</si>
  <si>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</si>
  <si>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</si>
  <si>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</si>
  <si>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</si>
  <si>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</si>
  <si>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</si>
  <si>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</si>
  <si>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</si>
  <si>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</si>
  <si>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</si>
  <si>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</si>
  <si>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</si>
  <si>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</si>
  <si>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</si>
  <si>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</si>
  <si>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</si>
  <si>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</si>
  <si>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</si>
  <si>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</si>
  <si>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</si>
  <si>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</si>
  <si>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</si>
  <si>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</si>
  <si>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</si>
  <si>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</si>
  <si>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</si>
  <si>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</si>
  <si>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</si>
  <si>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</si>
  <si>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</si>
  <si>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</si>
  <si>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</si>
  <si>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</si>
  <si>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</si>
  <si>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</si>
  <si>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</si>
  <si>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</si>
  <si>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</si>
  <si>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</si>
  <si>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</si>
  <si>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</si>
  <si>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</si>
  <si>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</si>
  <si>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</si>
  <si>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</si>
  <si>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</si>
  <si>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</si>
  <si>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</si>
  <si>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</si>
  <si>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</si>
  <si>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</si>
  <si>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</si>
  <si>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</si>
  <si>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</si>
  <si>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</si>
  <si>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</si>
  <si>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</si>
  <si>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</si>
  <si>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</si>
  <si>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</si>
  <si>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</si>
  <si>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</si>
  <si>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</si>
  <si>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</si>
  <si>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</si>
  <si>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</si>
  <si>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</si>
  <si>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</si>
  <si>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</si>
  <si>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</si>
  <si>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</si>
  <si>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</si>
  <si>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</si>
  <si>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</si>
  <si>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</si>
  <si>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</si>
  <si>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</si>
  <si>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</si>
  <si>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</si>
  <si>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</si>
  <si>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</si>
  <si>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</si>
  <si>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</si>
  <si>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</si>
  <si>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</si>
  <si>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</si>
  <si>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</si>
  <si>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</si>
  <si>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</si>
  <si>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</si>
  <si>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</si>
  <si>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</si>
  <si>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</si>
  <si>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</si>
  <si>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</si>
  <si>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</si>
  <si>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</si>
  <si>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</si>
  <si>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</si>
  <si>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</si>
  <si>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</si>
  <si>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</si>
  <si>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</si>
  <si>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</si>
  <si>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</si>
  <si>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</si>
  <si>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</si>
  <si>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</si>
  <si>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</si>
  <si>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</si>
  <si>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</si>
  <si>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</si>
  <si>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</si>
  <si>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</si>
  <si>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</si>
  <si>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</si>
  <si>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</si>
  <si>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</si>
  <si>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</si>
  <si>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</si>
  <si>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</si>
  <si>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</si>
  <si>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</si>
  <si>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</si>
  <si>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</si>
  <si>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</si>
  <si>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</si>
  <si>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</si>
  <si>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</si>
  <si>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</si>
  <si>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</si>
  <si>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</si>
  <si>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</si>
  <si>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</si>
  <si>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</si>
  <si>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</si>
  <si>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</si>
  <si>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</si>
  <si>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</si>
  <si>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</si>
  <si>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</si>
  <si>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</si>
  <si>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</si>
  <si>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</si>
  <si>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</si>
  <si>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</si>
  <si>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</si>
  <si>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</si>
  <si>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</si>
  <si>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</si>
  <si>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</si>
  <si>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</si>
  <si>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</si>
  <si>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</si>
  <si>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</si>
  <si>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</si>
  <si>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</si>
  <si>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</si>
  <si>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</si>
  <si>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</si>
  <si>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</si>
  <si>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</si>
  <si>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</si>
  <si>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</si>
  <si>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</si>
  <si>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</si>
  <si>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</si>
  <si>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</si>
  <si>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</si>
  <si>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</si>
  <si>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</si>
  <si>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</si>
  <si>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</si>
  <si>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</si>
  <si>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</si>
  <si>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</si>
  <si>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</si>
  <si>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</si>
  <si>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</si>
  <si>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</si>
  <si>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</si>
  <si>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</si>
  <si>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</si>
  <si>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</si>
  <si>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</si>
  <si>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</si>
  <si>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</si>
  <si>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</si>
  <si>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</si>
  <si>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</si>
  <si>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</si>
  <si>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</si>
  <si>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</si>
  <si>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</si>
  <si>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</si>
  <si>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</si>
  <si>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</si>
  <si>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</si>
  <si>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</si>
  <si>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</si>
  <si>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</si>
  <si>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</si>
  <si>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</si>
  <si>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</si>
  <si>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</si>
  <si>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</si>
  <si>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</si>
  <si>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</si>
  <si>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</si>
  <si>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</si>
  <si>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</si>
  <si>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</si>
  <si>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</si>
  <si>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</si>
  <si>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</si>
  <si>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</si>
  <si>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</si>
  <si>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</si>
  <si>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</si>
  <si>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</si>
  <si>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</si>
  <si>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</si>
  <si>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</si>
  <si>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</si>
  <si>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</si>
  <si>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</si>
  <si>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</si>
  <si>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</si>
  <si>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</si>
  <si>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</si>
  <si>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</si>
  <si>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</si>
  <si>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</si>
  <si>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</si>
  <si>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</si>
  <si>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</si>
  <si>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</si>
  <si>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</si>
  <si>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</si>
  <si>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</si>
  <si>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</si>
  <si>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</si>
  <si>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</si>
  <si>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</si>
  <si>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</si>
  <si>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</si>
  <si>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</si>
  <si>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</si>
  <si>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</si>
  <si>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</si>
  <si>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</si>
  <si>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</si>
  <si>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</si>
  <si>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</si>
  <si>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</si>
  <si>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</si>
  <si>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</si>
  <si>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</si>
  <si>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</si>
  <si>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</si>
  <si>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</si>
  <si>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</si>
  <si>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</si>
  <si>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</si>
  <si>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</si>
  <si>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</si>
  <si>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</si>
  <si>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</si>
  <si>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</si>
  <si>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</si>
  <si>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</si>
  <si>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</si>
  <si>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</si>
  <si>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</si>
  <si>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</si>
  <si>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</si>
  <si>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</si>
  <si>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</si>
  <si>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</si>
  <si>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</si>
  <si>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</si>
  <si>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</si>
  <si>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</si>
  <si>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</si>
  <si>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</si>
  <si>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</si>
  <si>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</si>
  <si>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</si>
  <si>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</si>
  <si>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</si>
  <si>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</si>
  <si>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</si>
  <si>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</si>
  <si>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</si>
  <si>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</si>
  <si>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</si>
  <si>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</si>
  <si>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</si>
  <si>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</si>
  <si>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</si>
  <si>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</si>
  <si>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</si>
  <si>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</si>
  <si>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</si>
  <si>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</si>
  <si>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</si>
  <si>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</si>
  <si>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</si>
  <si>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</si>
  <si>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</si>
  <si>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</si>
  <si>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</si>
  <si>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</si>
  <si>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</si>
  <si>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</si>
  <si>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</si>
  <si>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</si>
  <si>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</si>
  <si>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</si>
  <si>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</si>
  <si>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</si>
  <si>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</si>
  <si>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</si>
  <si>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</si>
  <si>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</si>
  <si>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</si>
  <si>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</si>
  <si>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</si>
  <si>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</si>
  <si>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</si>
  <si>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</si>
  <si>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11055</t>
  </si>
  <si>
    <t>ZOERSEL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</si>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</sst>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207003.26341916961</c:v>
                </c:pt>
                <c:pt idx="1">
                  <c:v>75097.931235567827</c:v>
                </c:pt>
                <c:pt idx="2">
                  <c:v>1266.6579999999999</c:v>
                </c:pt>
                <c:pt idx="3">
                  <c:v>6558.7311573370616</c:v>
                </c:pt>
                <c:pt idx="4">
                  <c:v>9466.0394718329226</c:v>
                </c:pt>
                <c:pt idx="5">
                  <c:v>128448.35474387241</c:v>
                </c:pt>
                <c:pt idx="6">
                  <c:v>1999.7610067842202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207003.26341916961</c:v>
                </c:pt>
                <c:pt idx="1">
                  <c:v>75097.931235567827</c:v>
                </c:pt>
                <c:pt idx="2">
                  <c:v>1266.6579999999999</c:v>
                </c:pt>
                <c:pt idx="3">
                  <c:v>6558.7311573370616</c:v>
                </c:pt>
                <c:pt idx="4">
                  <c:v>9466.0394718329226</c:v>
                </c:pt>
                <c:pt idx="5">
                  <c:v>128448.35474387241</c:v>
                </c:pt>
                <c:pt idx="6">
                  <c:v>1999.7610067842202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35797.668360753145</c:v>
                </c:pt>
                <c:pt idx="1">
                  <c:v>15499.336868133287</c:v>
                </c:pt>
                <c:pt idx="2">
                  <c:v>266.23656849187182</c:v>
                </c:pt>
                <c:pt idx="3">
                  <c:v>1458.0416663768651</c:v>
                </c:pt>
                <c:pt idx="4">
                  <c:v>1917.934103187574</c:v>
                </c:pt>
                <c:pt idx="5">
                  <c:v>32487.019393441667</c:v>
                </c:pt>
                <c:pt idx="6">
                  <c:v>511.20179464660987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35797.668360753145</c:v>
                </c:pt>
                <c:pt idx="1">
                  <c:v>15499.336868133287</c:v>
                </c:pt>
                <c:pt idx="2">
                  <c:v>266.23656849187182</c:v>
                </c:pt>
                <c:pt idx="3">
                  <c:v>1458.0416663768651</c:v>
                </c:pt>
                <c:pt idx="4">
                  <c:v>1917.934103187574</c:v>
                </c:pt>
                <c:pt idx="5">
                  <c:v>32487.019393441667</c:v>
                </c:pt>
                <c:pt idx="6">
                  <c:v>511.20179464660987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11055</v>
      </c>
      <c r="B6" s="398"/>
      <c r="C6" s="399"/>
    </row>
    <row r="7" spans="1:7" s="396" customFormat="1" ht="15.75" customHeight="1">
      <c r="A7" s="400" t="str">
        <f>txtMunicipality</f>
        <v>ZOERSEL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27749.101641360703</v>
      </c>
      <c r="D10" s="704">
        <f ca="1">tertiair!C16</f>
        <v>0</v>
      </c>
      <c r="E10" s="704">
        <f ca="1">tertiair!D16</f>
        <v>42480.31125150009</v>
      </c>
      <c r="F10" s="704">
        <f>tertiair!E16</f>
        <v>273.45094772591881</v>
      </c>
      <c r="G10" s="704">
        <f ca="1">tertiair!F16</f>
        <v>4831.2486792359559</v>
      </c>
      <c r="H10" s="704">
        <f>tertiair!G16</f>
        <v>0</v>
      </c>
      <c r="I10" s="704">
        <f>tertiair!H16</f>
        <v>0</v>
      </c>
      <c r="J10" s="704">
        <f>tertiair!I16</f>
        <v>0</v>
      </c>
      <c r="K10" s="704">
        <f>tertiair!J16</f>
        <v>0</v>
      </c>
      <c r="L10" s="704">
        <f>tertiair!K16</f>
        <v>0</v>
      </c>
      <c r="M10" s="704">
        <f ca="1">tertiair!L16</f>
        <v>0</v>
      </c>
      <c r="N10" s="704">
        <f>tertiair!M16</f>
        <v>0</v>
      </c>
      <c r="O10" s="704">
        <f ca="1">tertiair!N16</f>
        <v>1009.8467157451561</v>
      </c>
      <c r="P10" s="704">
        <f>tertiair!O16</f>
        <v>1.5633333333333335</v>
      </c>
      <c r="Q10" s="705">
        <f>tertiair!P16</f>
        <v>19.066666666666666</v>
      </c>
      <c r="R10" s="707">
        <f ca="1">SUM(C10:Q10)</f>
        <v>76364.589235567822</v>
      </c>
      <c r="S10" s="67"/>
    </row>
    <row r="11" spans="1:19" s="459" customFormat="1">
      <c r="A11" s="858" t="s">
        <v>225</v>
      </c>
      <c r="B11" s="863"/>
      <c r="C11" s="704">
        <f>huishoudens!B8</f>
        <v>46578.140553299963</v>
      </c>
      <c r="D11" s="704">
        <f>huishoudens!C8</f>
        <v>0</v>
      </c>
      <c r="E11" s="704">
        <f>huishoudens!D8</f>
        <v>124399.67267866306</v>
      </c>
      <c r="F11" s="704">
        <f>huishoudens!E8</f>
        <v>3871.1842745482018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30862.639245991719</v>
      </c>
      <c r="P11" s="704">
        <f>huishoudens!O8</f>
        <v>300.16000000000003</v>
      </c>
      <c r="Q11" s="705">
        <f>huishoudens!P8</f>
        <v>991.4666666666667</v>
      </c>
      <c r="R11" s="707">
        <f>SUM(C11:Q11)</f>
        <v>207003.26341916961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2619.5285001773191</v>
      </c>
      <c r="D13" s="704">
        <f>industrie!C18</f>
        <v>0</v>
      </c>
      <c r="E13" s="704">
        <f>industrie!D18</f>
        <v>3581.5555048817846</v>
      </c>
      <c r="F13" s="704">
        <f>industrie!E18</f>
        <v>460.73398651841933</v>
      </c>
      <c r="G13" s="704">
        <f>industrie!F18</f>
        <v>2018.9068078884115</v>
      </c>
      <c r="H13" s="704">
        <f>industrie!G18</f>
        <v>0</v>
      </c>
      <c r="I13" s="704">
        <f>industrie!H18</f>
        <v>0</v>
      </c>
      <c r="J13" s="704">
        <f>industrie!I18</f>
        <v>0</v>
      </c>
      <c r="K13" s="704">
        <f>industrie!J18</f>
        <v>0.65302572544701121</v>
      </c>
      <c r="L13" s="704">
        <f>industrie!K18</f>
        <v>0</v>
      </c>
      <c r="M13" s="704">
        <f>industrie!L18</f>
        <v>0</v>
      </c>
      <c r="N13" s="704">
        <f>industrie!M18</f>
        <v>0</v>
      </c>
      <c r="O13" s="704">
        <f>industrie!N18</f>
        <v>784.66164664154223</v>
      </c>
      <c r="P13" s="704">
        <f>industrie!O18</f>
        <v>0</v>
      </c>
      <c r="Q13" s="705">
        <f>industrie!P18</f>
        <v>0</v>
      </c>
      <c r="R13" s="707">
        <f>SUM(C13:Q13)</f>
        <v>9466.0394718329226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76946.770694837978</v>
      </c>
      <c r="D15" s="709">
        <f t="shared" ref="D15:Q15" ca="1" si="0">SUM(D9:D14)</f>
        <v>0</v>
      </c>
      <c r="E15" s="709">
        <f t="shared" ca="1" si="0"/>
        <v>170461.53943504492</v>
      </c>
      <c r="F15" s="709">
        <f t="shared" si="0"/>
        <v>4605.3692087925401</v>
      </c>
      <c r="G15" s="709">
        <f t="shared" ca="1" si="0"/>
        <v>6850.1554871243679</v>
      </c>
      <c r="H15" s="709">
        <f t="shared" si="0"/>
        <v>0</v>
      </c>
      <c r="I15" s="709">
        <f t="shared" si="0"/>
        <v>0</v>
      </c>
      <c r="J15" s="709">
        <f t="shared" si="0"/>
        <v>0</v>
      </c>
      <c r="K15" s="709">
        <f t="shared" si="0"/>
        <v>0.65302572544701121</v>
      </c>
      <c r="L15" s="709">
        <f t="shared" si="0"/>
        <v>0</v>
      </c>
      <c r="M15" s="709">
        <f t="shared" ca="1" si="0"/>
        <v>0</v>
      </c>
      <c r="N15" s="709">
        <f t="shared" si="0"/>
        <v>0</v>
      </c>
      <c r="O15" s="709">
        <f t="shared" ca="1" si="0"/>
        <v>32657.147608378418</v>
      </c>
      <c r="P15" s="709">
        <f t="shared" si="0"/>
        <v>301.72333333333336</v>
      </c>
      <c r="Q15" s="710">
        <f t="shared" si="0"/>
        <v>1010.5333333333334</v>
      </c>
      <c r="R15" s="711">
        <f ca="1">SUM(R9:R14)</f>
        <v>292833.89212657034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1914.613463095917</v>
      </c>
      <c r="I18" s="704">
        <f>transport!H54</f>
        <v>0</v>
      </c>
      <c r="J18" s="704">
        <f>transport!I54</f>
        <v>0</v>
      </c>
      <c r="K18" s="704">
        <f>transport!J54</f>
        <v>0</v>
      </c>
      <c r="L18" s="704">
        <f>transport!K54</f>
        <v>0</v>
      </c>
      <c r="M18" s="704">
        <f>transport!L54</f>
        <v>0</v>
      </c>
      <c r="N18" s="704">
        <f>transport!M54</f>
        <v>85.147543688303088</v>
      </c>
      <c r="O18" s="704">
        <f>transport!N54</f>
        <v>0</v>
      </c>
      <c r="P18" s="704">
        <f>transport!O54</f>
        <v>0</v>
      </c>
      <c r="Q18" s="705">
        <f>transport!P54</f>
        <v>0</v>
      </c>
      <c r="R18" s="707">
        <f>SUM(C18:Q18)</f>
        <v>1999.7610067842202</v>
      </c>
      <c r="S18" s="67"/>
    </row>
    <row r="19" spans="1:19" s="459" customFormat="1" ht="15" thickBot="1">
      <c r="A19" s="858" t="s">
        <v>307</v>
      </c>
      <c r="B19" s="863"/>
      <c r="C19" s="713">
        <f>transport!B14</f>
        <v>6.9721859856526773</v>
      </c>
      <c r="D19" s="713">
        <f>transport!C14</f>
        <v>0</v>
      </c>
      <c r="E19" s="713">
        <f>transport!D14</f>
        <v>11.504918993848149</v>
      </c>
      <c r="F19" s="713">
        <f>transport!E14</f>
        <v>377.65573787796512</v>
      </c>
      <c r="G19" s="713">
        <f>transport!F14</f>
        <v>0</v>
      </c>
      <c r="H19" s="713">
        <f>transport!G14</f>
        <v>105076.26991531381</v>
      </c>
      <c r="I19" s="713">
        <f>transport!H14</f>
        <v>17438.305255728548</v>
      </c>
      <c r="J19" s="713">
        <f>transport!I14</f>
        <v>0</v>
      </c>
      <c r="K19" s="713">
        <f>transport!J14</f>
        <v>0</v>
      </c>
      <c r="L19" s="713">
        <f>transport!K14</f>
        <v>0</v>
      </c>
      <c r="M19" s="713">
        <f>transport!L14</f>
        <v>0</v>
      </c>
      <c r="N19" s="713">
        <f>transport!M14</f>
        <v>5537.6467299725755</v>
      </c>
      <c r="O19" s="713">
        <f>transport!N14</f>
        <v>0</v>
      </c>
      <c r="P19" s="713">
        <f>transport!O14</f>
        <v>0</v>
      </c>
      <c r="Q19" s="714">
        <f>transport!P14</f>
        <v>0</v>
      </c>
      <c r="R19" s="715">
        <f>SUM(C19:Q19)</f>
        <v>128448.35474387241</v>
      </c>
      <c r="S19" s="67"/>
    </row>
    <row r="20" spans="1:19" s="459" customFormat="1" ht="15.75" thickBot="1">
      <c r="A20" s="716" t="s">
        <v>230</v>
      </c>
      <c r="B20" s="866"/>
      <c r="C20" s="861">
        <f>SUM(C17:C19)</f>
        <v>6.9721859856526773</v>
      </c>
      <c r="D20" s="717">
        <f t="shared" ref="D20:R20" si="1">SUM(D17:D19)</f>
        <v>0</v>
      </c>
      <c r="E20" s="717">
        <f t="shared" si="1"/>
        <v>11.504918993848149</v>
      </c>
      <c r="F20" s="717">
        <f t="shared" si="1"/>
        <v>377.65573787796512</v>
      </c>
      <c r="G20" s="717">
        <f t="shared" si="1"/>
        <v>0</v>
      </c>
      <c r="H20" s="717">
        <f t="shared" si="1"/>
        <v>106990.88337840972</v>
      </c>
      <c r="I20" s="717">
        <f t="shared" si="1"/>
        <v>17438.305255728548</v>
      </c>
      <c r="J20" s="717">
        <f t="shared" si="1"/>
        <v>0</v>
      </c>
      <c r="K20" s="717">
        <f t="shared" si="1"/>
        <v>0</v>
      </c>
      <c r="L20" s="717">
        <f t="shared" si="1"/>
        <v>0</v>
      </c>
      <c r="M20" s="717">
        <f t="shared" si="1"/>
        <v>0</v>
      </c>
      <c r="N20" s="717">
        <f t="shared" si="1"/>
        <v>5622.7942736608784</v>
      </c>
      <c r="O20" s="717">
        <f t="shared" si="1"/>
        <v>0</v>
      </c>
      <c r="P20" s="717">
        <f t="shared" si="1"/>
        <v>0</v>
      </c>
      <c r="Q20" s="718">
        <f t="shared" si="1"/>
        <v>0</v>
      </c>
      <c r="R20" s="719">
        <f t="shared" si="1"/>
        <v>130448.11575065662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520.98230607542996</v>
      </c>
      <c r="D22" s="713">
        <f>+landbouw!C8</f>
        <v>0</v>
      </c>
      <c r="E22" s="713">
        <f>+landbouw!D8</f>
        <v>4155.3145167010744</v>
      </c>
      <c r="F22" s="713">
        <f>+landbouw!E8</f>
        <v>6.5650482182216203</v>
      </c>
      <c r="G22" s="713">
        <f>+landbouw!F8</f>
        <v>1797.5194698264286</v>
      </c>
      <c r="H22" s="713">
        <f>+landbouw!G8</f>
        <v>0</v>
      </c>
      <c r="I22" s="713">
        <f>+landbouw!H8</f>
        <v>0</v>
      </c>
      <c r="J22" s="713">
        <f>+landbouw!I8</f>
        <v>0</v>
      </c>
      <c r="K22" s="713">
        <f>+landbouw!J8</f>
        <v>78.349816515907264</v>
      </c>
      <c r="L22" s="713">
        <f>+landbouw!K8</f>
        <v>0</v>
      </c>
      <c r="M22" s="713">
        <f>+landbouw!L8</f>
        <v>0</v>
      </c>
      <c r="N22" s="713">
        <f>+landbouw!M8</f>
        <v>0</v>
      </c>
      <c r="O22" s="713">
        <f>+landbouw!N8</f>
        <v>0</v>
      </c>
      <c r="P22" s="713">
        <f>+landbouw!O8</f>
        <v>0</v>
      </c>
      <c r="Q22" s="714">
        <f>+landbouw!P8</f>
        <v>0</v>
      </c>
      <c r="R22" s="715">
        <f>SUM(C22:Q22)</f>
        <v>6558.7311573370616</v>
      </c>
      <c r="S22" s="67"/>
    </row>
    <row r="23" spans="1:19" s="459" customFormat="1" ht="17.25" thickTop="1" thickBot="1">
      <c r="A23" s="720" t="s">
        <v>116</v>
      </c>
      <c r="B23" s="852"/>
      <c r="C23" s="721">
        <f ca="1">C20+C15+C22</f>
        <v>77474.725186899057</v>
      </c>
      <c r="D23" s="721">
        <f t="shared" ref="D23:Q23" ca="1" si="2">D20+D15+D22</f>
        <v>0</v>
      </c>
      <c r="E23" s="721">
        <f t="shared" ca="1" si="2"/>
        <v>174628.35887073984</v>
      </c>
      <c r="F23" s="721">
        <f t="shared" si="2"/>
        <v>4989.5899948887272</v>
      </c>
      <c r="G23" s="721">
        <f t="shared" ca="1" si="2"/>
        <v>8647.6749569507956</v>
      </c>
      <c r="H23" s="721">
        <f t="shared" si="2"/>
        <v>106990.88337840972</v>
      </c>
      <c r="I23" s="721">
        <f t="shared" si="2"/>
        <v>17438.305255728548</v>
      </c>
      <c r="J23" s="721">
        <f t="shared" si="2"/>
        <v>0</v>
      </c>
      <c r="K23" s="721">
        <f t="shared" si="2"/>
        <v>79.002842241354273</v>
      </c>
      <c r="L23" s="721">
        <f t="shared" si="2"/>
        <v>0</v>
      </c>
      <c r="M23" s="721">
        <f t="shared" ca="1" si="2"/>
        <v>0</v>
      </c>
      <c r="N23" s="721">
        <f t="shared" si="2"/>
        <v>5622.7942736608784</v>
      </c>
      <c r="O23" s="721">
        <f t="shared" ca="1" si="2"/>
        <v>32657.147608378418</v>
      </c>
      <c r="P23" s="721">
        <f t="shared" si="2"/>
        <v>301.72333333333336</v>
      </c>
      <c r="Q23" s="722">
        <f t="shared" si="2"/>
        <v>1010.5333333333334</v>
      </c>
      <c r="R23" s="723">
        <f ca="1">R20+R15+R22</f>
        <v>429840.73903456406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5832.5338013323581</v>
      </c>
      <c r="D36" s="704">
        <f ca="1">tertiair!C20</f>
        <v>0</v>
      </c>
      <c r="E36" s="704">
        <f ca="1">tertiair!D20</f>
        <v>8581.0228728030179</v>
      </c>
      <c r="F36" s="704">
        <f>tertiair!E20</f>
        <v>62.073365133783568</v>
      </c>
      <c r="G36" s="704">
        <f ca="1">tertiair!F20</f>
        <v>1289.9433973560003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15765.57343662516</v>
      </c>
    </row>
    <row r="37" spans="1:18">
      <c r="A37" s="873" t="s">
        <v>225</v>
      </c>
      <c r="B37" s="880"/>
      <c r="C37" s="704">
        <f ca="1">huishoudens!B12</f>
        <v>9790.1756493407684</v>
      </c>
      <c r="D37" s="704">
        <f ca="1">huishoudens!C12</f>
        <v>0</v>
      </c>
      <c r="E37" s="704">
        <f>huishoudens!D12</f>
        <v>25128.733881089938</v>
      </c>
      <c r="F37" s="704">
        <f>huishoudens!E12</f>
        <v>878.75883032244178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35797.668360753145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550.59398744875818</v>
      </c>
      <c r="D39" s="704">
        <f ca="1">industrie!C22</f>
        <v>0</v>
      </c>
      <c r="E39" s="704">
        <f>industrie!D22</f>
        <v>723.47421198612051</v>
      </c>
      <c r="F39" s="704">
        <f>industrie!E22</f>
        <v>104.5866149396812</v>
      </c>
      <c r="G39" s="704">
        <f>industrie!F22</f>
        <v>539.04811770620586</v>
      </c>
      <c r="H39" s="704">
        <f>industrie!G22</f>
        <v>0</v>
      </c>
      <c r="I39" s="704">
        <f>industrie!H22</f>
        <v>0</v>
      </c>
      <c r="J39" s="704">
        <f>industrie!I22</f>
        <v>0</v>
      </c>
      <c r="K39" s="704">
        <f>industrie!J22</f>
        <v>0.23117110680824196</v>
      </c>
      <c r="L39" s="704">
        <f>industrie!K22</f>
        <v>0</v>
      </c>
      <c r="M39" s="704">
        <f>industrie!L22</f>
        <v>0</v>
      </c>
      <c r="N39" s="704">
        <f>industrie!M22</f>
        <v>0</v>
      </c>
      <c r="O39" s="704">
        <f>industrie!N22</f>
        <v>0</v>
      </c>
      <c r="P39" s="704">
        <f>industrie!O22</f>
        <v>0</v>
      </c>
      <c r="Q39" s="814">
        <f>industrie!P22</f>
        <v>0</v>
      </c>
      <c r="R39" s="906">
        <f ca="1">SUM(C39:Q39)</f>
        <v>1917.934103187574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16173.303438121884</v>
      </c>
      <c r="D41" s="749">
        <f t="shared" ref="D41:R41" ca="1" si="4">SUM(D35:D40)</f>
        <v>0</v>
      </c>
      <c r="E41" s="749">
        <f t="shared" ca="1" si="4"/>
        <v>34433.230965879076</v>
      </c>
      <c r="F41" s="749">
        <f t="shared" si="4"/>
        <v>1045.4188103959066</v>
      </c>
      <c r="G41" s="749">
        <f t="shared" ca="1" si="4"/>
        <v>1828.9915150622062</v>
      </c>
      <c r="H41" s="749">
        <f t="shared" si="4"/>
        <v>0</v>
      </c>
      <c r="I41" s="749">
        <f t="shared" si="4"/>
        <v>0</v>
      </c>
      <c r="J41" s="749">
        <f t="shared" si="4"/>
        <v>0</v>
      </c>
      <c r="K41" s="749">
        <f t="shared" si="4"/>
        <v>0.23117110680824196</v>
      </c>
      <c r="L41" s="749">
        <f t="shared" si="4"/>
        <v>0</v>
      </c>
      <c r="M41" s="749">
        <f t="shared" ca="1" si="4"/>
        <v>0</v>
      </c>
      <c r="N41" s="749">
        <f t="shared" si="4"/>
        <v>0</v>
      </c>
      <c r="O41" s="749">
        <f t="shared" ca="1" si="4"/>
        <v>0</v>
      </c>
      <c r="P41" s="749">
        <f t="shared" si="4"/>
        <v>0</v>
      </c>
      <c r="Q41" s="750">
        <f t="shared" si="4"/>
        <v>0</v>
      </c>
      <c r="R41" s="751">
        <f t="shared" ca="1" si="4"/>
        <v>53481.175900565875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511.20179464660987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511.20179464660987</v>
      </c>
    </row>
    <row r="45" spans="1:18" ht="15" thickBot="1">
      <c r="A45" s="876" t="s">
        <v>307</v>
      </c>
      <c r="B45" s="886"/>
      <c r="C45" s="713">
        <f ca="1">transport!B18</f>
        <v>1.4654712414142474</v>
      </c>
      <c r="D45" s="713">
        <f>transport!C18</f>
        <v>0</v>
      </c>
      <c r="E45" s="713">
        <f>transport!D18</f>
        <v>2.3239936367573262</v>
      </c>
      <c r="F45" s="713">
        <f>transport!E18</f>
        <v>85.727852498298091</v>
      </c>
      <c r="G45" s="713">
        <f>transport!F18</f>
        <v>0</v>
      </c>
      <c r="H45" s="713">
        <f>transport!G18</f>
        <v>28055.364067388789</v>
      </c>
      <c r="I45" s="713">
        <f>transport!H18</f>
        <v>4342.1380086764084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32487.019393441667</v>
      </c>
    </row>
    <row r="46" spans="1:18" ht="15.75" thickBot="1">
      <c r="A46" s="874" t="s">
        <v>230</v>
      </c>
      <c r="B46" s="887"/>
      <c r="C46" s="749">
        <f t="shared" ref="C46:R46" ca="1" si="5">SUM(C43:C45)</f>
        <v>1.4654712414142474</v>
      </c>
      <c r="D46" s="749">
        <f t="shared" ca="1" si="5"/>
        <v>0</v>
      </c>
      <c r="E46" s="749">
        <f t="shared" si="5"/>
        <v>2.3239936367573262</v>
      </c>
      <c r="F46" s="749">
        <f t="shared" si="5"/>
        <v>85.727852498298091</v>
      </c>
      <c r="G46" s="749">
        <f t="shared" si="5"/>
        <v>0</v>
      </c>
      <c r="H46" s="749">
        <f t="shared" si="5"/>
        <v>28566.565862035401</v>
      </c>
      <c r="I46" s="749">
        <f t="shared" si="5"/>
        <v>4342.1380086764084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32998.221188088275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109.50433456742431</v>
      </c>
      <c r="D48" s="704">
        <f ca="1">+landbouw!C12</f>
        <v>0</v>
      </c>
      <c r="E48" s="704">
        <f>+landbouw!D12</f>
        <v>839.37353237361708</v>
      </c>
      <c r="F48" s="704">
        <f>+landbouw!E12</f>
        <v>1.4902659455363079</v>
      </c>
      <c r="G48" s="704">
        <f>+landbouw!F12</f>
        <v>479.93769844365647</v>
      </c>
      <c r="H48" s="704">
        <f>+landbouw!G12</f>
        <v>0</v>
      </c>
      <c r="I48" s="704">
        <f>+landbouw!H12</f>
        <v>0</v>
      </c>
      <c r="J48" s="704">
        <f>+landbouw!I12</f>
        <v>0</v>
      </c>
      <c r="K48" s="704">
        <f>+landbouw!J12</f>
        <v>27.73583504663117</v>
      </c>
      <c r="L48" s="704">
        <f>+landbouw!K12</f>
        <v>0</v>
      </c>
      <c r="M48" s="704">
        <f>+landbouw!L12</f>
        <v>0</v>
      </c>
      <c r="N48" s="704">
        <f>+landbouw!M12</f>
        <v>0</v>
      </c>
      <c r="O48" s="704">
        <f>+landbouw!N12</f>
        <v>0</v>
      </c>
      <c r="P48" s="704">
        <f>+landbouw!O12</f>
        <v>0</v>
      </c>
      <c r="Q48" s="705">
        <f>+landbouw!P12</f>
        <v>0</v>
      </c>
      <c r="R48" s="747">
        <f ca="1">SUM(C48:Q48)</f>
        <v>1458.0416663768651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16284.273243930722</v>
      </c>
      <c r="D53" s="759">
        <f t="shared" ref="D53:Q53" ca="1" si="6">D41+D46+D48</f>
        <v>0</v>
      </c>
      <c r="E53" s="759">
        <f t="shared" ca="1" si="6"/>
        <v>35274.928491889455</v>
      </c>
      <c r="F53" s="759">
        <f t="shared" si="6"/>
        <v>1132.6369288397409</v>
      </c>
      <c r="G53" s="759">
        <f t="shared" ca="1" si="6"/>
        <v>2308.9292135058627</v>
      </c>
      <c r="H53" s="759">
        <f t="shared" si="6"/>
        <v>28566.565862035401</v>
      </c>
      <c r="I53" s="759">
        <f t="shared" si="6"/>
        <v>4342.1380086764084</v>
      </c>
      <c r="J53" s="759">
        <f t="shared" si="6"/>
        <v>0</v>
      </c>
      <c r="K53" s="759">
        <f t="shared" si="6"/>
        <v>27.96700615343941</v>
      </c>
      <c r="L53" s="759">
        <f t="shared" si="6"/>
        <v>0</v>
      </c>
      <c r="M53" s="759">
        <f t="shared" ca="1" si="6"/>
        <v>0</v>
      </c>
      <c r="N53" s="759">
        <f t="shared" si="6"/>
        <v>0</v>
      </c>
      <c r="O53" s="759">
        <f t="shared" ca="1" si="6"/>
        <v>0</v>
      </c>
      <c r="P53" s="759">
        <f>P41+P46+P48</f>
        <v>0</v>
      </c>
      <c r="Q53" s="760">
        <f t="shared" si="6"/>
        <v>0</v>
      </c>
      <c r="R53" s="761">
        <f ca="1">R41+R46+R48</f>
        <v>87937.43875503102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0.21018820272865435</v>
      </c>
      <c r="D55" s="824">
        <f t="shared" ca="1" si="7"/>
        <v>0</v>
      </c>
      <c r="E55" s="824">
        <f t="shared" ca="1" si="7"/>
        <v>0.20200000000000004</v>
      </c>
      <c r="F55" s="824">
        <f t="shared" si="7"/>
        <v>0.22699999999999995</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3790.2308704704592</v>
      </c>
      <c r="C66" s="781">
        <f>'lokale energieproductie'!B6</f>
        <v>3790.2308704704592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3790.2308704704592</v>
      </c>
      <c r="C69" s="789">
        <f>SUM(C64:C68)</f>
        <v>3790.2308704704592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46578.140553299963</v>
      </c>
      <c r="C4" s="463">
        <f>huishoudens!C8</f>
        <v>0</v>
      </c>
      <c r="D4" s="463">
        <f>huishoudens!D8</f>
        <v>124399.67267866306</v>
      </c>
      <c r="E4" s="463">
        <f>huishoudens!E8</f>
        <v>3871.1842745482018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30862.639245991719</v>
      </c>
      <c r="O4" s="463">
        <f>huishoudens!O8</f>
        <v>300.16000000000003</v>
      </c>
      <c r="P4" s="464">
        <f>huishoudens!P8</f>
        <v>991.4666666666667</v>
      </c>
      <c r="Q4" s="465">
        <f>SUM(B4:P4)</f>
        <v>207003.26341916961</v>
      </c>
    </row>
    <row r="5" spans="1:17">
      <c r="A5" s="462" t="s">
        <v>156</v>
      </c>
      <c r="B5" s="463">
        <f ca="1">tertiair!B16</f>
        <v>26482.443641360704</v>
      </c>
      <c r="C5" s="463">
        <f ca="1">tertiair!C16</f>
        <v>0</v>
      </c>
      <c r="D5" s="463">
        <f ca="1">tertiair!D16</f>
        <v>42480.31125150009</v>
      </c>
      <c r="E5" s="463">
        <f>tertiair!E16</f>
        <v>273.45094772591881</v>
      </c>
      <c r="F5" s="463">
        <f ca="1">tertiair!F16</f>
        <v>4831.2486792359559</v>
      </c>
      <c r="G5" s="463">
        <f>tertiair!G16</f>
        <v>0</v>
      </c>
      <c r="H5" s="463">
        <f>tertiair!H16</f>
        <v>0</v>
      </c>
      <c r="I5" s="463">
        <f>tertiair!I16</f>
        <v>0</v>
      </c>
      <c r="J5" s="463">
        <f>tertiair!J16</f>
        <v>0</v>
      </c>
      <c r="K5" s="463">
        <f>tertiair!K16</f>
        <v>0</v>
      </c>
      <c r="L5" s="463">
        <f ca="1">tertiair!L16</f>
        <v>0</v>
      </c>
      <c r="M5" s="463">
        <f>tertiair!M16</f>
        <v>0</v>
      </c>
      <c r="N5" s="463">
        <f ca="1">tertiair!N16</f>
        <v>1009.8467157451561</v>
      </c>
      <c r="O5" s="463">
        <f>tertiair!O16</f>
        <v>1.5633333333333335</v>
      </c>
      <c r="P5" s="464">
        <f>tertiair!P16</f>
        <v>19.066666666666666</v>
      </c>
      <c r="Q5" s="462">
        <f t="shared" ref="Q5:Q13" ca="1" si="0">SUM(B5:P5)</f>
        <v>75097.931235567827</v>
      </c>
    </row>
    <row r="6" spans="1:17">
      <c r="A6" s="462" t="s">
        <v>194</v>
      </c>
      <c r="B6" s="463">
        <f>'openbare verlichting'!B8</f>
        <v>1266.6579999999999</v>
      </c>
      <c r="C6" s="463"/>
      <c r="D6" s="463"/>
      <c r="E6" s="463"/>
      <c r="F6" s="463"/>
      <c r="G6" s="463"/>
      <c r="H6" s="463"/>
      <c r="I6" s="463"/>
      <c r="J6" s="463"/>
      <c r="K6" s="463"/>
      <c r="L6" s="463"/>
      <c r="M6" s="463"/>
      <c r="N6" s="463"/>
      <c r="O6" s="463"/>
      <c r="P6" s="464"/>
      <c r="Q6" s="462">
        <f t="shared" si="0"/>
        <v>1266.6579999999999</v>
      </c>
    </row>
    <row r="7" spans="1:17">
      <c r="A7" s="462" t="s">
        <v>112</v>
      </c>
      <c r="B7" s="463">
        <f>landbouw!B8</f>
        <v>520.98230607542996</v>
      </c>
      <c r="C7" s="463">
        <f>landbouw!C8</f>
        <v>0</v>
      </c>
      <c r="D7" s="463">
        <f>landbouw!D8</f>
        <v>4155.3145167010744</v>
      </c>
      <c r="E7" s="463">
        <f>landbouw!E8</f>
        <v>6.5650482182216203</v>
      </c>
      <c r="F7" s="463">
        <f>landbouw!F8</f>
        <v>1797.5194698264286</v>
      </c>
      <c r="G7" s="463">
        <f>landbouw!G8</f>
        <v>0</v>
      </c>
      <c r="H7" s="463">
        <f>landbouw!H8</f>
        <v>0</v>
      </c>
      <c r="I7" s="463">
        <f>landbouw!I8</f>
        <v>0</v>
      </c>
      <c r="J7" s="463">
        <f>landbouw!J8</f>
        <v>78.349816515907264</v>
      </c>
      <c r="K7" s="463">
        <f>landbouw!K8</f>
        <v>0</v>
      </c>
      <c r="L7" s="463">
        <f>landbouw!L8</f>
        <v>0</v>
      </c>
      <c r="M7" s="463">
        <f>landbouw!M8</f>
        <v>0</v>
      </c>
      <c r="N7" s="463">
        <f>landbouw!N8</f>
        <v>0</v>
      </c>
      <c r="O7" s="463">
        <f>landbouw!O8</f>
        <v>0</v>
      </c>
      <c r="P7" s="464">
        <f>landbouw!P8</f>
        <v>0</v>
      </c>
      <c r="Q7" s="462">
        <f t="shared" si="0"/>
        <v>6558.7311573370616</v>
      </c>
    </row>
    <row r="8" spans="1:17">
      <c r="A8" s="462" t="s">
        <v>657</v>
      </c>
      <c r="B8" s="463">
        <f>industrie!B18</f>
        <v>2619.5285001773191</v>
      </c>
      <c r="C8" s="463">
        <f>industrie!C18</f>
        <v>0</v>
      </c>
      <c r="D8" s="463">
        <f>industrie!D18</f>
        <v>3581.5555048817846</v>
      </c>
      <c r="E8" s="463">
        <f>industrie!E18</f>
        <v>460.73398651841933</v>
      </c>
      <c r="F8" s="463">
        <f>industrie!F18</f>
        <v>2018.9068078884115</v>
      </c>
      <c r="G8" s="463">
        <f>industrie!G18</f>
        <v>0</v>
      </c>
      <c r="H8" s="463">
        <f>industrie!H18</f>
        <v>0</v>
      </c>
      <c r="I8" s="463">
        <f>industrie!I18</f>
        <v>0</v>
      </c>
      <c r="J8" s="463">
        <f>industrie!J18</f>
        <v>0.65302572544701121</v>
      </c>
      <c r="K8" s="463">
        <f>industrie!K18</f>
        <v>0</v>
      </c>
      <c r="L8" s="463">
        <f>industrie!L18</f>
        <v>0</v>
      </c>
      <c r="M8" s="463">
        <f>industrie!M18</f>
        <v>0</v>
      </c>
      <c r="N8" s="463">
        <f>industrie!N18</f>
        <v>784.66164664154223</v>
      </c>
      <c r="O8" s="463">
        <f>industrie!O18</f>
        <v>0</v>
      </c>
      <c r="P8" s="464">
        <f>industrie!P18</f>
        <v>0</v>
      </c>
      <c r="Q8" s="462">
        <f t="shared" si="0"/>
        <v>9466.0394718329226</v>
      </c>
    </row>
    <row r="9" spans="1:17" s="468" customFormat="1">
      <c r="A9" s="466" t="s">
        <v>574</v>
      </c>
      <c r="B9" s="467">
        <f>transport!B14</f>
        <v>6.9721859856526773</v>
      </c>
      <c r="C9" s="467"/>
      <c r="D9" s="467">
        <f>transport!D14</f>
        <v>11.504918993848149</v>
      </c>
      <c r="E9" s="467">
        <f>transport!E14</f>
        <v>377.65573787796512</v>
      </c>
      <c r="F9" s="467"/>
      <c r="G9" s="467">
        <f>transport!G14</f>
        <v>105076.26991531381</v>
      </c>
      <c r="H9" s="467">
        <f>transport!H14</f>
        <v>17438.305255728548</v>
      </c>
      <c r="I9" s="467"/>
      <c r="J9" s="467"/>
      <c r="K9" s="467"/>
      <c r="L9" s="467"/>
      <c r="M9" s="467">
        <f>transport!M14</f>
        <v>5537.6467299725755</v>
      </c>
      <c r="N9" s="467"/>
      <c r="O9" s="467"/>
      <c r="P9" s="467"/>
      <c r="Q9" s="466">
        <f>SUM(B9:P9)</f>
        <v>128448.35474387241</v>
      </c>
    </row>
    <row r="10" spans="1:17">
      <c r="A10" s="462" t="s">
        <v>564</v>
      </c>
      <c r="B10" s="463">
        <f>transport!B54</f>
        <v>0</v>
      </c>
      <c r="C10" s="463"/>
      <c r="D10" s="463">
        <f>transport!D54</f>
        <v>0</v>
      </c>
      <c r="E10" s="463"/>
      <c r="F10" s="463"/>
      <c r="G10" s="463">
        <f>transport!G54</f>
        <v>1914.613463095917</v>
      </c>
      <c r="H10" s="463"/>
      <c r="I10" s="463"/>
      <c r="J10" s="463"/>
      <c r="K10" s="463"/>
      <c r="L10" s="463"/>
      <c r="M10" s="463">
        <f>transport!M54</f>
        <v>85.147543688303088</v>
      </c>
      <c r="N10" s="463"/>
      <c r="O10" s="463"/>
      <c r="P10" s="464"/>
      <c r="Q10" s="462">
        <f t="shared" si="0"/>
        <v>1999.7610067842202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77474.725186899057</v>
      </c>
      <c r="C14" s="473">
        <f t="shared" ref="C14:Q14" ca="1" si="1">SUM(C4:C13)</f>
        <v>0</v>
      </c>
      <c r="D14" s="473">
        <f t="shared" ca="1" si="1"/>
        <v>174628.35887073984</v>
      </c>
      <c r="E14" s="473">
        <f t="shared" si="1"/>
        <v>4989.5899948887272</v>
      </c>
      <c r="F14" s="473">
        <f t="shared" ca="1" si="1"/>
        <v>8647.6749569507956</v>
      </c>
      <c r="G14" s="473">
        <f t="shared" si="1"/>
        <v>106990.88337840972</v>
      </c>
      <c r="H14" s="473">
        <f t="shared" si="1"/>
        <v>17438.305255728548</v>
      </c>
      <c r="I14" s="473">
        <f t="shared" si="1"/>
        <v>0</v>
      </c>
      <c r="J14" s="473">
        <f t="shared" si="1"/>
        <v>79.002842241354273</v>
      </c>
      <c r="K14" s="473">
        <f t="shared" si="1"/>
        <v>0</v>
      </c>
      <c r="L14" s="473">
        <f t="shared" ca="1" si="1"/>
        <v>0</v>
      </c>
      <c r="M14" s="473">
        <f t="shared" si="1"/>
        <v>5622.7942736608784</v>
      </c>
      <c r="N14" s="473">
        <f t="shared" ca="1" si="1"/>
        <v>32657.147608378418</v>
      </c>
      <c r="O14" s="473">
        <f t="shared" si="1"/>
        <v>301.72333333333336</v>
      </c>
      <c r="P14" s="474">
        <f t="shared" si="1"/>
        <v>1010.5333333333334</v>
      </c>
      <c r="Q14" s="474">
        <f t="shared" ca="1" si="1"/>
        <v>429840.73903456406</v>
      </c>
    </row>
    <row r="16" spans="1:17">
      <c r="A16" s="476" t="s">
        <v>569</v>
      </c>
      <c r="B16" s="829">
        <f ca="1">huishoudens!B10</f>
        <v>0.21018820272865432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9790.1756493407684</v>
      </c>
      <c r="C21" s="463">
        <f t="shared" ref="C21:C28" ca="1" si="3">C4*$C$16</f>
        <v>0</v>
      </c>
      <c r="D21" s="463">
        <f t="shared" ref="D21:D30" si="4">D4*$D$16</f>
        <v>25128.733881089938</v>
      </c>
      <c r="E21" s="463">
        <f t="shared" ref="E21:E30" si="5">E4*$E$16</f>
        <v>878.75883032244178</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35797.668360753145</v>
      </c>
    </row>
    <row r="22" spans="1:17">
      <c r="A22" s="462" t="s">
        <v>156</v>
      </c>
      <c r="B22" s="463">
        <f t="shared" ca="1" si="2"/>
        <v>5566.2972328404858</v>
      </c>
      <c r="C22" s="463">
        <f t="shared" ca="1" si="3"/>
        <v>0</v>
      </c>
      <c r="D22" s="463">
        <f t="shared" ca="1" si="4"/>
        <v>8581.0228728030179</v>
      </c>
      <c r="E22" s="463">
        <f t="shared" si="5"/>
        <v>62.073365133783568</v>
      </c>
      <c r="F22" s="463">
        <f t="shared" ca="1" si="6"/>
        <v>1289.9433973560003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15499.336868133287</v>
      </c>
    </row>
    <row r="23" spans="1:17">
      <c r="A23" s="462" t="s">
        <v>194</v>
      </c>
      <c r="B23" s="463">
        <f t="shared" ca="1" si="2"/>
        <v>266.23656849187182</v>
      </c>
      <c r="C23" s="463"/>
      <c r="D23" s="463"/>
      <c r="E23" s="463"/>
      <c r="F23" s="463"/>
      <c r="G23" s="463"/>
      <c r="H23" s="463"/>
      <c r="I23" s="463"/>
      <c r="J23" s="463"/>
      <c r="K23" s="463"/>
      <c r="L23" s="463"/>
      <c r="M23" s="463"/>
      <c r="N23" s="463"/>
      <c r="O23" s="463"/>
      <c r="P23" s="464"/>
      <c r="Q23" s="462">
        <f t="shared" ca="1" si="17"/>
        <v>266.23656849187182</v>
      </c>
    </row>
    <row r="24" spans="1:17">
      <c r="A24" s="462" t="s">
        <v>112</v>
      </c>
      <c r="B24" s="463">
        <f t="shared" ca="1" si="2"/>
        <v>109.50433456742431</v>
      </c>
      <c r="C24" s="463">
        <f t="shared" ca="1" si="3"/>
        <v>0</v>
      </c>
      <c r="D24" s="463">
        <f t="shared" si="4"/>
        <v>839.37353237361708</v>
      </c>
      <c r="E24" s="463">
        <f t="shared" si="5"/>
        <v>1.4902659455363079</v>
      </c>
      <c r="F24" s="463">
        <f t="shared" si="6"/>
        <v>479.93769844365647</v>
      </c>
      <c r="G24" s="463">
        <f t="shared" si="7"/>
        <v>0</v>
      </c>
      <c r="H24" s="463">
        <f t="shared" si="8"/>
        <v>0</v>
      </c>
      <c r="I24" s="463">
        <f t="shared" si="9"/>
        <v>0</v>
      </c>
      <c r="J24" s="463">
        <f t="shared" si="10"/>
        <v>27.73583504663117</v>
      </c>
      <c r="K24" s="463">
        <f t="shared" si="11"/>
        <v>0</v>
      </c>
      <c r="L24" s="463">
        <f t="shared" si="12"/>
        <v>0</v>
      </c>
      <c r="M24" s="463">
        <f t="shared" si="13"/>
        <v>0</v>
      </c>
      <c r="N24" s="463">
        <f t="shared" si="14"/>
        <v>0</v>
      </c>
      <c r="O24" s="463">
        <f t="shared" si="15"/>
        <v>0</v>
      </c>
      <c r="P24" s="464">
        <f t="shared" si="16"/>
        <v>0</v>
      </c>
      <c r="Q24" s="462">
        <f t="shared" ca="1" si="17"/>
        <v>1458.0416663768651</v>
      </c>
    </row>
    <row r="25" spans="1:17">
      <c r="A25" s="462" t="s">
        <v>657</v>
      </c>
      <c r="B25" s="463">
        <f t="shared" ca="1" si="2"/>
        <v>550.59398744875818</v>
      </c>
      <c r="C25" s="463">
        <f t="shared" ca="1" si="3"/>
        <v>0</v>
      </c>
      <c r="D25" s="463">
        <f t="shared" si="4"/>
        <v>723.47421198612051</v>
      </c>
      <c r="E25" s="463">
        <f t="shared" si="5"/>
        <v>104.5866149396812</v>
      </c>
      <c r="F25" s="463">
        <f t="shared" si="6"/>
        <v>539.04811770620586</v>
      </c>
      <c r="G25" s="463">
        <f t="shared" si="7"/>
        <v>0</v>
      </c>
      <c r="H25" s="463">
        <f t="shared" si="8"/>
        <v>0</v>
      </c>
      <c r="I25" s="463">
        <f t="shared" si="9"/>
        <v>0</v>
      </c>
      <c r="J25" s="463">
        <f t="shared" si="10"/>
        <v>0.23117110680824196</v>
      </c>
      <c r="K25" s="463">
        <f t="shared" si="11"/>
        <v>0</v>
      </c>
      <c r="L25" s="463">
        <f t="shared" si="12"/>
        <v>0</v>
      </c>
      <c r="M25" s="463">
        <f t="shared" si="13"/>
        <v>0</v>
      </c>
      <c r="N25" s="463">
        <f t="shared" si="14"/>
        <v>0</v>
      </c>
      <c r="O25" s="463">
        <f t="shared" si="15"/>
        <v>0</v>
      </c>
      <c r="P25" s="464">
        <f t="shared" si="16"/>
        <v>0</v>
      </c>
      <c r="Q25" s="462">
        <f t="shared" ca="1" si="17"/>
        <v>1917.934103187574</v>
      </c>
    </row>
    <row r="26" spans="1:17" s="468" customFormat="1">
      <c r="A26" s="466" t="s">
        <v>574</v>
      </c>
      <c r="B26" s="823">
        <f t="shared" ca="1" si="2"/>
        <v>1.4654712414142474</v>
      </c>
      <c r="C26" s="467"/>
      <c r="D26" s="467">
        <f t="shared" si="4"/>
        <v>2.3239936367573262</v>
      </c>
      <c r="E26" s="467">
        <f t="shared" si="5"/>
        <v>85.727852498298091</v>
      </c>
      <c r="F26" s="467"/>
      <c r="G26" s="467">
        <f t="shared" si="7"/>
        <v>28055.364067388789</v>
      </c>
      <c r="H26" s="467">
        <f t="shared" si="8"/>
        <v>4342.1380086764084</v>
      </c>
      <c r="I26" s="467"/>
      <c r="J26" s="467"/>
      <c r="K26" s="467"/>
      <c r="L26" s="467"/>
      <c r="M26" s="467">
        <f t="shared" si="13"/>
        <v>0</v>
      </c>
      <c r="N26" s="467"/>
      <c r="O26" s="467"/>
      <c r="P26" s="478"/>
      <c r="Q26" s="466">
        <f t="shared" ca="1" si="17"/>
        <v>32487.019393441667</v>
      </c>
    </row>
    <row r="27" spans="1:17">
      <c r="A27" s="462" t="s">
        <v>564</v>
      </c>
      <c r="B27" s="463">
        <f t="shared" ca="1" si="2"/>
        <v>0</v>
      </c>
      <c r="C27" s="463"/>
      <c r="D27" s="467">
        <f t="shared" si="4"/>
        <v>0</v>
      </c>
      <c r="E27" s="463"/>
      <c r="F27" s="463"/>
      <c r="G27" s="463">
        <f t="shared" si="7"/>
        <v>511.20179464660987</v>
      </c>
      <c r="H27" s="463"/>
      <c r="I27" s="463"/>
      <c r="J27" s="463"/>
      <c r="K27" s="463"/>
      <c r="L27" s="463"/>
      <c r="M27" s="463">
        <f t="shared" si="13"/>
        <v>0</v>
      </c>
      <c r="N27" s="463"/>
      <c r="O27" s="463"/>
      <c r="P27" s="464"/>
      <c r="Q27" s="462">
        <f t="shared" ca="1" si="17"/>
        <v>511.20179464660987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16284.27324393072</v>
      </c>
      <c r="C31" s="473">
        <f t="shared" ca="1" si="18"/>
        <v>0</v>
      </c>
      <c r="D31" s="473">
        <f t="shared" ca="1" si="18"/>
        <v>35274.928491889455</v>
      </c>
      <c r="E31" s="473">
        <f t="shared" si="18"/>
        <v>1132.6369288397409</v>
      </c>
      <c r="F31" s="473">
        <f t="shared" ca="1" si="18"/>
        <v>2308.9292135058627</v>
      </c>
      <c r="G31" s="473">
        <f t="shared" si="18"/>
        <v>28566.565862035401</v>
      </c>
      <c r="H31" s="473">
        <f t="shared" si="18"/>
        <v>4342.1380086764084</v>
      </c>
      <c r="I31" s="473">
        <f t="shared" si="18"/>
        <v>0</v>
      </c>
      <c r="J31" s="473">
        <f t="shared" si="18"/>
        <v>27.96700615343941</v>
      </c>
      <c r="K31" s="473">
        <f t="shared" si="18"/>
        <v>0</v>
      </c>
      <c r="L31" s="473">
        <f t="shared" ca="1" si="18"/>
        <v>0</v>
      </c>
      <c r="M31" s="473">
        <f t="shared" si="18"/>
        <v>0</v>
      </c>
      <c r="N31" s="473">
        <f t="shared" ca="1" si="18"/>
        <v>0</v>
      </c>
      <c r="O31" s="473">
        <f t="shared" si="18"/>
        <v>0</v>
      </c>
      <c r="P31" s="474">
        <f t="shared" si="18"/>
        <v>0</v>
      </c>
      <c r="Q31" s="474">
        <f t="shared" ca="1" si="18"/>
        <v>87937.43875503102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0.21018820272865432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0.21018820272865432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0.21018820272865432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8370</v>
      </c>
      <c r="C9" s="338">
        <v>8793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1036</v>
      </c>
    </row>
    <row r="15" spans="1:6">
      <c r="A15" s="1269" t="s">
        <v>184</v>
      </c>
      <c r="B15" s="335">
        <v>10</v>
      </c>
    </row>
    <row r="16" spans="1:6">
      <c r="A16" s="1269" t="s">
        <v>6</v>
      </c>
      <c r="B16" s="335">
        <v>569</v>
      </c>
    </row>
    <row r="17" spans="1:6">
      <c r="A17" s="1269" t="s">
        <v>7</v>
      </c>
      <c r="B17" s="335">
        <v>95</v>
      </c>
    </row>
    <row r="18" spans="1:6">
      <c r="A18" s="1269" t="s">
        <v>8</v>
      </c>
      <c r="B18" s="335">
        <v>290</v>
      </c>
    </row>
    <row r="19" spans="1:6">
      <c r="A19" s="1269" t="s">
        <v>9</v>
      </c>
      <c r="B19" s="335">
        <v>275</v>
      </c>
    </row>
    <row r="20" spans="1:6">
      <c r="A20" s="1269" t="s">
        <v>10</v>
      </c>
      <c r="B20" s="335">
        <v>167</v>
      </c>
    </row>
    <row r="21" spans="1:6">
      <c r="A21" s="1269" t="s">
        <v>11</v>
      </c>
      <c r="B21" s="335">
        <v>0</v>
      </c>
    </row>
    <row r="22" spans="1:6">
      <c r="A22" s="1269" t="s">
        <v>12</v>
      </c>
      <c r="B22" s="335">
        <v>353</v>
      </c>
    </row>
    <row r="23" spans="1:6">
      <c r="A23" s="1269" t="s">
        <v>13</v>
      </c>
      <c r="B23" s="335">
        <v>0</v>
      </c>
    </row>
    <row r="24" spans="1:6">
      <c r="A24" s="1269" t="s">
        <v>14</v>
      </c>
      <c r="B24" s="335">
        <v>0</v>
      </c>
    </row>
    <row r="25" spans="1:6">
      <c r="A25" s="1269" t="s">
        <v>15</v>
      </c>
      <c r="B25" s="335">
        <v>0</v>
      </c>
    </row>
    <row r="26" spans="1:6">
      <c r="A26" s="1269" t="s">
        <v>16</v>
      </c>
      <c r="B26" s="335">
        <v>74</v>
      </c>
    </row>
    <row r="27" spans="1:6">
      <c r="A27" s="1269" t="s">
        <v>17</v>
      </c>
      <c r="B27" s="335">
        <v>0</v>
      </c>
    </row>
    <row r="28" spans="1:6" s="341" customFormat="1">
      <c r="A28" s="1270" t="s">
        <v>18</v>
      </c>
      <c r="B28" s="1270">
        <v>0</v>
      </c>
    </row>
    <row r="29" spans="1:6">
      <c r="A29" s="1270" t="s">
        <v>874</v>
      </c>
      <c r="B29" s="1270">
        <v>88</v>
      </c>
      <c r="C29" s="341"/>
      <c r="D29" s="341"/>
      <c r="E29" s="341"/>
      <c r="F29" s="341"/>
    </row>
    <row r="30" spans="1:6">
      <c r="A30" s="1265" t="s">
        <v>875</v>
      </c>
      <c r="B30" s="1265">
        <v>26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74770.183173719604</v>
      </c>
      <c r="E36" s="335">
        <v>0</v>
      </c>
      <c r="F36" s="335">
        <v>0</v>
      </c>
    </row>
    <row r="37" spans="1:6">
      <c r="A37" s="1269" t="s">
        <v>25</v>
      </c>
      <c r="B37" s="1269" t="s">
        <v>28</v>
      </c>
      <c r="C37" s="335">
        <v>0</v>
      </c>
      <c r="D37" s="335">
        <v>0</v>
      </c>
      <c r="E37" s="335">
        <v>0</v>
      </c>
      <c r="F37" s="335">
        <v>0</v>
      </c>
    </row>
    <row r="38" spans="1:6">
      <c r="A38" s="1269" t="s">
        <v>25</v>
      </c>
      <c r="B38" s="1269" t="s">
        <v>29</v>
      </c>
      <c r="C38" s="335">
        <v>2</v>
      </c>
      <c r="D38" s="335">
        <v>393301.50184394699</v>
      </c>
      <c r="E38" s="335">
        <v>1</v>
      </c>
      <c r="F38" s="335">
        <v>0</v>
      </c>
    </row>
    <row r="39" spans="1:6">
      <c r="A39" s="1269" t="s">
        <v>30</v>
      </c>
      <c r="B39" s="1269" t="s">
        <v>31</v>
      </c>
      <c r="C39" s="335">
        <v>5703</v>
      </c>
      <c r="D39" s="335">
        <v>137915379.90982601</v>
      </c>
      <c r="E39" s="335">
        <v>8018</v>
      </c>
      <c r="F39" s="335">
        <v>43019422.421553999</v>
      </c>
    </row>
    <row r="40" spans="1:6">
      <c r="A40" s="1269" t="s">
        <v>30</v>
      </c>
      <c r="B40" s="1269" t="s">
        <v>29</v>
      </c>
      <c r="C40" s="335">
        <v>0</v>
      </c>
      <c r="D40" s="335">
        <v>0</v>
      </c>
      <c r="E40" s="335">
        <v>0</v>
      </c>
      <c r="F40" s="335">
        <v>0</v>
      </c>
    </row>
    <row r="41" spans="1:6">
      <c r="A41" s="1269" t="s">
        <v>32</v>
      </c>
      <c r="B41" s="1269" t="s">
        <v>33</v>
      </c>
      <c r="C41" s="335">
        <v>77</v>
      </c>
      <c r="D41" s="335">
        <v>2081105.3655829399</v>
      </c>
      <c r="E41" s="335">
        <v>150</v>
      </c>
      <c r="F41" s="335">
        <v>1435281.6538388999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125109.440556475</v>
      </c>
      <c r="E44" s="335">
        <v>22</v>
      </c>
      <c r="F44" s="335">
        <v>215653.02602137599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34920.862435676601</v>
      </c>
    </row>
    <row r="48" spans="1:6">
      <c r="A48" s="1269" t="s">
        <v>32</v>
      </c>
      <c r="B48" s="1269" t="s">
        <v>29</v>
      </c>
      <c r="C48" s="335">
        <v>32</v>
      </c>
      <c r="D48" s="335">
        <v>756891.47285819601</v>
      </c>
      <c r="E48" s="335">
        <v>27</v>
      </c>
      <c r="F48" s="335">
        <v>251515.71651348399</v>
      </c>
    </row>
    <row r="49" spans="1:6">
      <c r="A49" s="1269" t="s">
        <v>32</v>
      </c>
      <c r="B49" s="1269" t="s">
        <v>40</v>
      </c>
      <c r="C49" s="335">
        <v>0</v>
      </c>
      <c r="D49" s="335">
        <v>0</v>
      </c>
      <c r="E49" s="335">
        <v>4</v>
      </c>
      <c r="F49" s="335">
        <v>49058.554530282898</v>
      </c>
    </row>
    <row r="50" spans="1:6">
      <c r="A50" s="1269" t="s">
        <v>32</v>
      </c>
      <c r="B50" s="1269" t="s">
        <v>41</v>
      </c>
      <c r="C50" s="335">
        <v>12</v>
      </c>
      <c r="D50" s="335">
        <v>1007576.09892011</v>
      </c>
      <c r="E50" s="335">
        <v>13</v>
      </c>
      <c r="F50" s="335">
        <v>633098.68683759996</v>
      </c>
    </row>
    <row r="51" spans="1:6">
      <c r="A51" s="1269" t="s">
        <v>42</v>
      </c>
      <c r="B51" s="1269" t="s">
        <v>43</v>
      </c>
      <c r="C51" s="335">
        <v>3</v>
      </c>
      <c r="D51" s="335">
        <v>53366.133699516198</v>
      </c>
      <c r="E51" s="335">
        <v>19</v>
      </c>
      <c r="F51" s="335">
        <v>244123.61501729401</v>
      </c>
    </row>
    <row r="52" spans="1:6">
      <c r="A52" s="1269" t="s">
        <v>42</v>
      </c>
      <c r="B52" s="1269" t="s">
        <v>29</v>
      </c>
      <c r="C52" s="335">
        <v>3</v>
      </c>
      <c r="D52" s="335">
        <v>1005493.02675548</v>
      </c>
      <c r="E52" s="335">
        <v>12</v>
      </c>
      <c r="F52" s="335">
        <v>276858.691058136</v>
      </c>
    </row>
    <row r="53" spans="1:6">
      <c r="A53" s="1269" t="s">
        <v>44</v>
      </c>
      <c r="B53" s="1269" t="s">
        <v>45</v>
      </c>
      <c r="C53" s="335">
        <v>130</v>
      </c>
      <c r="D53" s="335">
        <v>3547919.68289431</v>
      </c>
      <c r="E53" s="335">
        <v>226</v>
      </c>
      <c r="F53" s="335">
        <v>1129787.81992004</v>
      </c>
    </row>
    <row r="54" spans="1:6">
      <c r="A54" s="1269" t="s">
        <v>46</v>
      </c>
      <c r="B54" s="1269" t="s">
        <v>47</v>
      </c>
      <c r="C54" s="335">
        <v>0</v>
      </c>
      <c r="D54" s="335">
        <v>0</v>
      </c>
      <c r="E54" s="335">
        <v>1</v>
      </c>
      <c r="F54" s="335">
        <v>1266658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35</v>
      </c>
      <c r="D57" s="335">
        <v>1529059.9766555701</v>
      </c>
      <c r="E57" s="335">
        <v>103</v>
      </c>
      <c r="F57" s="335">
        <v>1090440.76106561</v>
      </c>
    </row>
    <row r="58" spans="1:6">
      <c r="A58" s="1269" t="s">
        <v>49</v>
      </c>
      <c r="B58" s="1269" t="s">
        <v>51</v>
      </c>
      <c r="C58" s="335">
        <v>47</v>
      </c>
      <c r="D58" s="335">
        <v>16385752.0747643</v>
      </c>
      <c r="E58" s="335">
        <v>52</v>
      </c>
      <c r="F58" s="335">
        <v>9434500.2777604591</v>
      </c>
    </row>
    <row r="59" spans="1:6">
      <c r="A59" s="1269" t="s">
        <v>49</v>
      </c>
      <c r="B59" s="1269" t="s">
        <v>52</v>
      </c>
      <c r="C59" s="335">
        <v>96</v>
      </c>
      <c r="D59" s="335">
        <v>4453937.5745719904</v>
      </c>
      <c r="E59" s="335">
        <v>188</v>
      </c>
      <c r="F59" s="335">
        <v>6023540.2521643499</v>
      </c>
    </row>
    <row r="60" spans="1:6">
      <c r="A60" s="1269" t="s">
        <v>49</v>
      </c>
      <c r="B60" s="1269" t="s">
        <v>53</v>
      </c>
      <c r="C60" s="335">
        <v>53</v>
      </c>
      <c r="D60" s="335">
        <v>2945840.1994411801</v>
      </c>
      <c r="E60" s="335">
        <v>64</v>
      </c>
      <c r="F60" s="335">
        <v>2279972.8066233699</v>
      </c>
    </row>
    <row r="61" spans="1:6">
      <c r="A61" s="1269" t="s">
        <v>49</v>
      </c>
      <c r="B61" s="1269" t="s">
        <v>54</v>
      </c>
      <c r="C61" s="335">
        <v>272</v>
      </c>
      <c r="D61" s="335">
        <v>14151484.816897901</v>
      </c>
      <c r="E61" s="335">
        <v>431</v>
      </c>
      <c r="F61" s="335">
        <v>5886403.1024476597</v>
      </c>
    </row>
    <row r="62" spans="1:6">
      <c r="A62" s="1269" t="s">
        <v>49</v>
      </c>
      <c r="B62" s="1269" t="s">
        <v>55</v>
      </c>
      <c r="C62" s="335">
        <v>9</v>
      </c>
      <c r="D62" s="335">
        <v>755227.33576568705</v>
      </c>
      <c r="E62" s="335">
        <v>6</v>
      </c>
      <c r="F62" s="335">
        <v>107420.51526572699</v>
      </c>
    </row>
    <row r="63" spans="1:6">
      <c r="A63" s="1269" t="s">
        <v>49</v>
      </c>
      <c r="B63" s="1269" t="s">
        <v>29</v>
      </c>
      <c r="C63" s="335">
        <v>99</v>
      </c>
      <c r="D63" s="335">
        <v>6874386.77079482</v>
      </c>
      <c r="E63" s="335">
        <v>83</v>
      </c>
      <c r="F63" s="335">
        <v>1660165.9260335299</v>
      </c>
    </row>
    <row r="64" spans="1:6">
      <c r="A64" s="1269" t="s">
        <v>56</v>
      </c>
      <c r="B64" s="1269" t="s">
        <v>57</v>
      </c>
      <c r="C64" s="335">
        <v>0</v>
      </c>
      <c r="D64" s="335">
        <v>0</v>
      </c>
      <c r="E64" s="335">
        <v>0</v>
      </c>
      <c r="F64" s="335">
        <v>0</v>
      </c>
    </row>
    <row r="65" spans="1:6">
      <c r="A65" s="1269" t="s">
        <v>56</v>
      </c>
      <c r="B65" s="1269" t="s">
        <v>29</v>
      </c>
      <c r="C65" s="335">
        <v>2</v>
      </c>
      <c r="D65" s="335">
        <v>115783.872284927</v>
      </c>
      <c r="E65" s="335">
        <v>1</v>
      </c>
      <c r="F65" s="335">
        <v>10827.225781900799</v>
      </c>
    </row>
    <row r="66" spans="1:6">
      <c r="A66" s="1269" t="s">
        <v>56</v>
      </c>
      <c r="B66" s="1269" t="s">
        <v>58</v>
      </c>
      <c r="C66" s="335">
        <v>0</v>
      </c>
      <c r="D66" s="335">
        <v>0</v>
      </c>
      <c r="E66" s="335">
        <v>3</v>
      </c>
      <c r="F66" s="335">
        <v>49327.218911119598</v>
      </c>
    </row>
    <row r="67" spans="1:6">
      <c r="A67" s="1270" t="s">
        <v>56</v>
      </c>
      <c r="B67" s="1270" t="s">
        <v>59</v>
      </c>
      <c r="C67" s="335">
        <v>0</v>
      </c>
      <c r="D67" s="335">
        <v>0</v>
      </c>
      <c r="E67" s="335">
        <v>0</v>
      </c>
      <c r="F67" s="335">
        <v>0</v>
      </c>
    </row>
    <row r="68" spans="1:6">
      <c r="A68" s="1265" t="s">
        <v>56</v>
      </c>
      <c r="B68" s="1265" t="s">
        <v>60</v>
      </c>
      <c r="C68" s="335">
        <v>5</v>
      </c>
      <c r="D68" s="335">
        <v>249068.87497346301</v>
      </c>
      <c r="E68" s="335">
        <v>8</v>
      </c>
      <c r="F68" s="335">
        <v>74476.961474938696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63661153</v>
      </c>
      <c r="E73" s="335">
        <v>66451176.018161505</v>
      </c>
    </row>
    <row r="74" spans="1:6">
      <c r="A74" s="1269" t="s">
        <v>64</v>
      </c>
      <c r="B74" s="1269" t="s">
        <v>727</v>
      </c>
      <c r="C74" s="1269" t="s">
        <v>728</v>
      </c>
      <c r="D74" s="335">
        <v>6058453.494459617</v>
      </c>
      <c r="E74" s="335">
        <v>6514037.1186389197</v>
      </c>
    </row>
    <row r="75" spans="1:6">
      <c r="A75" s="1269" t="s">
        <v>65</v>
      </c>
      <c r="B75" s="1269" t="s">
        <v>725</v>
      </c>
      <c r="C75" s="1269" t="s">
        <v>729</v>
      </c>
      <c r="D75" s="335">
        <v>24769689</v>
      </c>
      <c r="E75" s="335">
        <v>25838605.207634851</v>
      </c>
    </row>
    <row r="76" spans="1:6">
      <c r="A76" s="1269" t="s">
        <v>65</v>
      </c>
      <c r="B76" s="1269" t="s">
        <v>727</v>
      </c>
      <c r="C76" s="1269" t="s">
        <v>730</v>
      </c>
      <c r="D76" s="335">
        <v>182663.49445961678</v>
      </c>
      <c r="E76" s="335">
        <v>217867.35693163055</v>
      </c>
    </row>
    <row r="77" spans="1:6">
      <c r="A77" s="1269" t="s">
        <v>66</v>
      </c>
      <c r="B77" s="1269" t="s">
        <v>725</v>
      </c>
      <c r="C77" s="1269" t="s">
        <v>731</v>
      </c>
      <c r="D77" s="335">
        <v>39255644</v>
      </c>
      <c r="E77" s="335">
        <v>41702966.652245373</v>
      </c>
    </row>
    <row r="78" spans="1:6">
      <c r="A78" s="1265" t="s">
        <v>66</v>
      </c>
      <c r="B78" s="1265" t="s">
        <v>727</v>
      </c>
      <c r="C78" s="1265" t="s">
        <v>732</v>
      </c>
      <c r="D78" s="1265">
        <v>9518909</v>
      </c>
      <c r="E78" s="1265">
        <v>9982334.5151706748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528313.01108076645</v>
      </c>
      <c r="C83" s="335">
        <v>521938.86011128133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3558.7181317459604</v>
      </c>
    </row>
    <row r="92" spans="1:6">
      <c r="A92" s="1265" t="s">
        <v>69</v>
      </c>
      <c r="B92" s="338">
        <v>231.51273872449869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3777</v>
      </c>
    </row>
    <row r="98" spans="1:6">
      <c r="A98" s="1269" t="s">
        <v>72</v>
      </c>
      <c r="B98" s="335">
        <v>5</v>
      </c>
    </row>
    <row r="99" spans="1:6">
      <c r="A99" s="1269" t="s">
        <v>73</v>
      </c>
      <c r="B99" s="335">
        <v>79</v>
      </c>
    </row>
    <row r="100" spans="1:6">
      <c r="A100" s="1269" t="s">
        <v>74</v>
      </c>
      <c r="B100" s="335">
        <v>865</v>
      </c>
    </row>
    <row r="101" spans="1:6">
      <c r="A101" s="1269" t="s">
        <v>75</v>
      </c>
      <c r="B101" s="335">
        <v>168</v>
      </c>
    </row>
    <row r="102" spans="1:6">
      <c r="A102" s="1269" t="s">
        <v>76</v>
      </c>
      <c r="B102" s="335">
        <v>89</v>
      </c>
    </row>
    <row r="103" spans="1:6">
      <c r="A103" s="1269" t="s">
        <v>77</v>
      </c>
      <c r="B103" s="335">
        <v>117</v>
      </c>
    </row>
    <row r="104" spans="1:6">
      <c r="A104" s="1269" t="s">
        <v>78</v>
      </c>
      <c r="B104" s="335">
        <v>1827</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40</v>
      </c>
      <c r="C123" s="335">
        <v>40</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149</v>
      </c>
    </row>
    <row r="130" spans="1:6">
      <c r="A130" s="1269" t="s">
        <v>295</v>
      </c>
      <c r="B130" s="335">
        <v>1</v>
      </c>
    </row>
    <row r="131" spans="1:6">
      <c r="A131" s="1269" t="s">
        <v>296</v>
      </c>
      <c r="B131" s="335">
        <v>1</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77474.725186899057</v>
      </c>
      <c r="C3" s="43" t="s">
        <v>170</v>
      </c>
      <c r="D3" s="43"/>
      <c r="E3" s="156"/>
      <c r="F3" s="43"/>
      <c r="G3" s="43"/>
      <c r="H3" s="43"/>
      <c r="I3" s="43"/>
      <c r="J3" s="43"/>
      <c r="K3" s="96"/>
    </row>
    <row r="4" spans="1:11">
      <c r="A4" s="366" t="s">
        <v>171</v>
      </c>
      <c r="B4" s="49">
        <f>IF(ISERROR('SEAP template'!B69),0,'SEAP template'!B69)</f>
        <v>3790.2308704704592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0.21018820272865432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1266.6579999999999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1266.6579999999999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0.21018820272865432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266.23656849187182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43019.422421554002</v>
      </c>
      <c r="C5" s="17">
        <f>IF(ISERROR('Eigen informatie GS &amp; warmtenet'!B57),0,'Eigen informatie GS &amp; warmtenet'!B57)</f>
        <v>0</v>
      </c>
      <c r="D5" s="30">
        <f>(SUM(HH_hh_gas_kWh,HH_rest_gas_kWh)/1000)*0.902</f>
        <v>124399.67267866306</v>
      </c>
      <c r="E5" s="17">
        <f>B46*B57</f>
        <v>3871.1842745482018</v>
      </c>
      <c r="F5" s="17">
        <f>B51*B62</f>
        <v>0</v>
      </c>
      <c r="G5" s="18"/>
      <c r="H5" s="17"/>
      <c r="I5" s="17"/>
      <c r="J5" s="17">
        <f>B50*B61+C50*C61</f>
        <v>0</v>
      </c>
      <c r="K5" s="17"/>
      <c r="L5" s="17"/>
      <c r="M5" s="17"/>
      <c r="N5" s="17">
        <f>B48*B59+C48*C59</f>
        <v>30862.639245991719</v>
      </c>
      <c r="O5" s="17">
        <f>B69*B70*B71</f>
        <v>300.16000000000003</v>
      </c>
      <c r="P5" s="17">
        <f>B77*B78*B79/1000-B77*B78*B79/1000/B80</f>
        <v>991.4666666666667</v>
      </c>
    </row>
    <row r="6" spans="1:16">
      <c r="A6" s="16" t="s">
        <v>634</v>
      </c>
      <c r="B6" s="831">
        <f>kWh_PV_kleiner_dan_10kW</f>
        <v>3558.7181317459604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46578.140553299963</v>
      </c>
      <c r="C8" s="21">
        <f>C5</f>
        <v>0</v>
      </c>
      <c r="D8" s="21">
        <f>D5</f>
        <v>124399.67267866306</v>
      </c>
      <c r="E8" s="21">
        <f>E5</f>
        <v>3871.1842745482018</v>
      </c>
      <c r="F8" s="21">
        <f>F5</f>
        <v>0</v>
      </c>
      <c r="G8" s="21"/>
      <c r="H8" s="21"/>
      <c r="I8" s="21"/>
      <c r="J8" s="21">
        <f>J5</f>
        <v>0</v>
      </c>
      <c r="K8" s="21"/>
      <c r="L8" s="21">
        <f>L5</f>
        <v>0</v>
      </c>
      <c r="M8" s="21">
        <f>M5</f>
        <v>0</v>
      </c>
      <c r="N8" s="21">
        <f>N5</f>
        <v>30862.639245991719</v>
      </c>
      <c r="O8" s="21">
        <f>O5</f>
        <v>300.16000000000003</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0.21018820272865432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9790.1756493407684</v>
      </c>
      <c r="C12" s="23">
        <f ca="1">C10*C8</f>
        <v>0</v>
      </c>
      <c r="D12" s="23">
        <f>D8*D10</f>
        <v>25128.733881089938</v>
      </c>
      <c r="E12" s="23">
        <f>E10*E8</f>
        <v>878.75883032244178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3777</v>
      </c>
      <c r="C18" s="168" t="s">
        <v>111</v>
      </c>
      <c r="D18" s="230"/>
      <c r="E18" s="15"/>
    </row>
    <row r="19" spans="1:7">
      <c r="A19" s="173" t="s">
        <v>72</v>
      </c>
      <c r="B19" s="37">
        <f>aantalw2001_ander</f>
        <v>5</v>
      </c>
      <c r="C19" s="168" t="s">
        <v>111</v>
      </c>
      <c r="D19" s="231"/>
      <c r="E19" s="15"/>
    </row>
    <row r="20" spans="1:7">
      <c r="A20" s="173" t="s">
        <v>73</v>
      </c>
      <c r="B20" s="37">
        <f>aantalw2001_propaan</f>
        <v>79</v>
      </c>
      <c r="C20" s="169">
        <f>IF(ISERROR(B20/SUM($B$20,$B$21,$B$22)*100),0,B20/SUM($B$20,$B$21,$B$22)*100)</f>
        <v>7.1043165467625897</v>
      </c>
      <c r="D20" s="231"/>
      <c r="E20" s="15"/>
    </row>
    <row r="21" spans="1:7">
      <c r="A21" s="173" t="s">
        <v>74</v>
      </c>
      <c r="B21" s="37">
        <f>aantalw2001_elektriciteit</f>
        <v>865</v>
      </c>
      <c r="C21" s="169">
        <f>IF(ISERROR(B21/SUM($B$20,$B$21,$B$22)*100),0,B21/SUM($B$20,$B$21,$B$22)*100)</f>
        <v>77.787769784172667</v>
      </c>
      <c r="D21" s="231"/>
      <c r="E21" s="15"/>
    </row>
    <row r="22" spans="1:7">
      <c r="A22" s="173" t="s">
        <v>75</v>
      </c>
      <c r="B22" s="37">
        <f>aantalw2001_hout</f>
        <v>168</v>
      </c>
      <c r="C22" s="169">
        <f>IF(ISERROR(B22/SUM($B$20,$B$21,$B$22)*100),0,B22/SUM($B$20,$B$21,$B$22)*100)</f>
        <v>15.107913669064748</v>
      </c>
      <c r="D22" s="231"/>
      <c r="E22" s="15"/>
    </row>
    <row r="23" spans="1:7">
      <c r="A23" s="173" t="s">
        <v>76</v>
      </c>
      <c r="B23" s="37">
        <f>aantalw2001_niet_gespec</f>
        <v>89</v>
      </c>
      <c r="C23" s="168" t="s">
        <v>111</v>
      </c>
      <c r="D23" s="230"/>
      <c r="E23" s="15"/>
    </row>
    <row r="24" spans="1:7">
      <c r="A24" s="173" t="s">
        <v>77</v>
      </c>
      <c r="B24" s="37">
        <f>aantalw2001_steenkool</f>
        <v>117</v>
      </c>
      <c r="C24" s="168" t="s">
        <v>111</v>
      </c>
      <c r="D24" s="231"/>
      <c r="E24" s="15"/>
    </row>
    <row r="25" spans="1:7">
      <c r="A25" s="173" t="s">
        <v>78</v>
      </c>
      <c r="B25" s="37">
        <f>aantalw2001_stookolie</f>
        <v>1827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8370</v>
      </c>
      <c r="C28" s="36"/>
      <c r="D28" s="230"/>
    </row>
    <row r="29" spans="1:7" s="15" customFormat="1">
      <c r="A29" s="232" t="s">
        <v>746</v>
      </c>
      <c r="B29" s="37">
        <f>SUM(HH_hh_gas_aantal,HH_rest_gas_aantal)</f>
        <v>5703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5703</v>
      </c>
      <c r="C32" s="169">
        <f>IF(ISERROR(B32/SUM($B$32,$B$34,$B$35,$B$36,$B$38,$B$39)*100),0,B32/SUM($B$32,$B$34,$B$35,$B$36,$B$38,$B$39)*100)</f>
        <v>68.562154364029809</v>
      </c>
      <c r="D32" s="235"/>
      <c r="G32" s="15"/>
    </row>
    <row r="33" spans="1:7">
      <c r="A33" s="173" t="s">
        <v>72</v>
      </c>
      <c r="B33" s="34" t="s">
        <v>111</v>
      </c>
      <c r="C33" s="169"/>
      <c r="D33" s="235"/>
      <c r="G33" s="15"/>
    </row>
    <row r="34" spans="1:7">
      <c r="A34" s="173" t="s">
        <v>73</v>
      </c>
      <c r="B34" s="33">
        <f>IF((($B$28-$B$32-$B$39-$B$77-$B$38)*C20/100)&lt;0,0,($B$28-$B$32-$B$39-$B$77-$B$38)*C20/100)</f>
        <v>185.77787769784172</v>
      </c>
      <c r="C34" s="169">
        <f>IF(ISERROR(B34/SUM($B$32,$B$34,$B$35,$B$36,$B$38,$B$39)*100),0,B34/SUM($B$32,$B$34,$B$35,$B$36,$B$38,$B$39)*100)</f>
        <v>2.2334440694619104</v>
      </c>
      <c r="D34" s="235"/>
      <c r="G34" s="15"/>
    </row>
    <row r="35" spans="1:7">
      <c r="A35" s="173" t="s">
        <v>74</v>
      </c>
      <c r="B35" s="33">
        <f>IF((($B$28-$B$32-$B$39-$B$77-$B$38)*C21/100)&lt;0,0,($B$28-$B$32-$B$39-$B$77-$B$38)*C21/100)</f>
        <v>2034.1501798561151</v>
      </c>
      <c r="C35" s="169">
        <f>IF(ISERROR(B35/SUM($B$32,$B$34,$B$35,$B$36,$B$38,$B$39)*100),0,B35/SUM($B$32,$B$34,$B$35,$B$36,$B$38,$B$39)*100)</f>
        <v>24.454798988412062</v>
      </c>
      <c r="D35" s="235"/>
      <c r="G35" s="15"/>
    </row>
    <row r="36" spans="1:7">
      <c r="A36" s="173" t="s">
        <v>75</v>
      </c>
      <c r="B36" s="33">
        <f>IF((($B$28-$B$32-$B$39-$B$77-$B$38)*C22/100)&lt;0,0,($B$28-$B$32-$B$39-$B$77-$B$38)*C22/100)</f>
        <v>395.07194244604318</v>
      </c>
      <c r="C36" s="169">
        <f>IF(ISERROR(B36/SUM($B$32,$B$34,$B$35,$B$36,$B$38,$B$39)*100),0,B36/SUM($B$32,$B$34,$B$35,$B$36,$B$38,$B$39)*100)</f>
        <v>4.7496025780962157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5703</v>
      </c>
      <c r="C44" s="34" t="s">
        <v>111</v>
      </c>
      <c r="D44" s="176"/>
    </row>
    <row r="45" spans="1:7">
      <c r="A45" s="173" t="s">
        <v>72</v>
      </c>
      <c r="B45" s="33" t="str">
        <f t="shared" si="0"/>
        <v>-</v>
      </c>
      <c r="C45" s="34" t="s">
        <v>111</v>
      </c>
      <c r="D45" s="176"/>
    </row>
    <row r="46" spans="1:7">
      <c r="A46" s="173" t="s">
        <v>73</v>
      </c>
      <c r="B46" s="33">
        <f t="shared" si="0"/>
        <v>185.77787769784172</v>
      </c>
      <c r="C46" s="34" t="s">
        <v>111</v>
      </c>
      <c r="D46" s="176"/>
    </row>
    <row r="47" spans="1:7">
      <c r="A47" s="173" t="s">
        <v>74</v>
      </c>
      <c r="B47" s="33">
        <f t="shared" si="0"/>
        <v>2034.1501798561151</v>
      </c>
      <c r="C47" s="34" t="s">
        <v>111</v>
      </c>
      <c r="D47" s="176"/>
    </row>
    <row r="48" spans="1:7">
      <c r="A48" s="173" t="s">
        <v>75</v>
      </c>
      <c r="B48" s="33">
        <f t="shared" si="0"/>
        <v>395.07194244604318</v>
      </c>
      <c r="C48" s="33">
        <f>B48*10</f>
        <v>3950.7194244604316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26482.443641360704</v>
      </c>
      <c r="C5" s="17">
        <f>IF(ISERROR('Eigen informatie GS &amp; warmtenet'!B58),0,'Eigen informatie GS &amp; warmtenet'!B58)</f>
        <v>0</v>
      </c>
      <c r="D5" s="30">
        <f>SUM(D6:D12)</f>
        <v>42480.31125150009</v>
      </c>
      <c r="E5" s="17">
        <f>SUM(E6:E12)</f>
        <v>273.45094772591881</v>
      </c>
      <c r="F5" s="17">
        <f>SUM(F6:F12)</f>
        <v>4831.2486792359559</v>
      </c>
      <c r="G5" s="18"/>
      <c r="H5" s="17"/>
      <c r="I5" s="17"/>
      <c r="J5" s="17">
        <f>SUM(J6:J12)</f>
        <v>0</v>
      </c>
      <c r="K5" s="17"/>
      <c r="L5" s="17"/>
      <c r="M5" s="17"/>
      <c r="N5" s="17">
        <f>SUM(N6:N12)</f>
        <v>1009.8467157451561</v>
      </c>
      <c r="O5" s="17">
        <f>B38*B39*B40</f>
        <v>1.5633333333333335</v>
      </c>
      <c r="P5" s="17">
        <f>B46*B47*B48/1000-B46*B47*B48/1000/B49</f>
        <v>19.066666666666666</v>
      </c>
      <c r="R5" s="32"/>
    </row>
    <row r="6" spans="1:18">
      <c r="A6" s="32" t="s">
        <v>54</v>
      </c>
      <c r="B6" s="37">
        <f>B26</f>
        <v>5886.4031024476599</v>
      </c>
      <c r="C6" s="33"/>
      <c r="D6" s="37">
        <f>IF(ISERROR(TER_kantoor_gas_kWh/1000),0,TER_kantoor_gas_kWh/1000)*0.902</f>
        <v>12764.639304841907</v>
      </c>
      <c r="E6" s="33">
        <f>$C$26*'E Balans VL '!I12/100/3.6*1000000</f>
        <v>22.869922277157002</v>
      </c>
      <c r="F6" s="33">
        <f>$C$26*('E Balans VL '!L12+'E Balans VL '!N12)/100/3.6*1000000</f>
        <v>895.26834988438986</v>
      </c>
      <c r="G6" s="34"/>
      <c r="H6" s="33"/>
      <c r="I6" s="33"/>
      <c r="J6" s="33">
        <f>$C$26*('E Balans VL '!D12+'E Balans VL '!E12)/100/3.6*1000000</f>
        <v>0</v>
      </c>
      <c r="K6" s="33"/>
      <c r="L6" s="33"/>
      <c r="M6" s="33"/>
      <c r="N6" s="33">
        <f>$C$26*'E Balans VL '!Y12/100/3.6*1000000</f>
        <v>3.2441132831740607</v>
      </c>
      <c r="O6" s="33"/>
      <c r="P6" s="33"/>
      <c r="R6" s="32"/>
    </row>
    <row r="7" spans="1:18">
      <c r="A7" s="32" t="s">
        <v>53</v>
      </c>
      <c r="B7" s="37">
        <f t="shared" ref="B7:B12" si="0">B27</f>
        <v>2279.9728066233697</v>
      </c>
      <c r="C7" s="33"/>
      <c r="D7" s="37">
        <f>IF(ISERROR(TER_horeca_gas_kWh/1000),0,TER_horeca_gas_kWh/1000)*0.902</f>
        <v>2657.1478598959447</v>
      </c>
      <c r="E7" s="33">
        <f>$C$27*'E Balans VL '!I9/100/3.6*1000000</f>
        <v>128.43147776082887</v>
      </c>
      <c r="F7" s="33">
        <f>$C$27*('E Balans VL '!L9+'E Balans VL '!N9)/100/3.6*1000000</f>
        <v>657.40765824474136</v>
      </c>
      <c r="G7" s="34"/>
      <c r="H7" s="33"/>
      <c r="I7" s="33"/>
      <c r="J7" s="33">
        <f>$C$27*('E Balans VL '!D9+'E Balans VL '!E9)/100/3.6*1000000</f>
        <v>0</v>
      </c>
      <c r="K7" s="33"/>
      <c r="L7" s="33"/>
      <c r="M7" s="33"/>
      <c r="N7" s="33">
        <f>$C$27*'E Balans VL '!Y9/100/3.6*1000000</f>
        <v>0.62948864405528104</v>
      </c>
      <c r="O7" s="33"/>
      <c r="P7" s="33"/>
      <c r="R7" s="32"/>
    </row>
    <row r="8" spans="1:18">
      <c r="A8" s="6" t="s">
        <v>52</v>
      </c>
      <c r="B8" s="37">
        <f t="shared" si="0"/>
        <v>6023.54025216435</v>
      </c>
      <c r="C8" s="33"/>
      <c r="D8" s="37">
        <f>IF(ISERROR(TER_handel_gas_kWh/1000),0,TER_handel_gas_kWh/1000)*0.902</f>
        <v>4017.4516922639359</v>
      </c>
      <c r="E8" s="33">
        <f>$C$28*'E Balans VL '!I13/100/3.6*1000000</f>
        <v>86.819650872894954</v>
      </c>
      <c r="F8" s="33">
        <f>$C$28*('E Balans VL '!L13+'E Balans VL '!N13)/100/3.6*1000000</f>
        <v>1046.4292205875688</v>
      </c>
      <c r="G8" s="34"/>
      <c r="H8" s="33"/>
      <c r="I8" s="33"/>
      <c r="J8" s="33">
        <f>$C$28*('E Balans VL '!D13+'E Balans VL '!E13)/100/3.6*1000000</f>
        <v>0</v>
      </c>
      <c r="K8" s="33"/>
      <c r="L8" s="33"/>
      <c r="M8" s="33"/>
      <c r="N8" s="33">
        <f>$C$28*'E Balans VL '!Y13/100/3.6*1000000</f>
        <v>18.047197149798784</v>
      </c>
      <c r="O8" s="33"/>
      <c r="P8" s="33"/>
      <c r="R8" s="32"/>
    </row>
    <row r="9" spans="1:18">
      <c r="A9" s="32" t="s">
        <v>51</v>
      </c>
      <c r="B9" s="37">
        <f t="shared" si="0"/>
        <v>9434.5002777604586</v>
      </c>
      <c r="C9" s="33"/>
      <c r="D9" s="37">
        <f>IF(ISERROR(TER_gezond_gas_kWh/1000),0,TER_gezond_gas_kWh/1000)*0.902</f>
        <v>14779.948371437398</v>
      </c>
      <c r="E9" s="33">
        <f>$C$29*'E Balans VL '!I10/100/3.6*1000000</f>
        <v>10.078491629318169</v>
      </c>
      <c r="F9" s="33">
        <f>$C$29*('E Balans VL '!L10+'E Balans VL '!N10)/100/3.6*1000000</f>
        <v>1539.0537205256046</v>
      </c>
      <c r="G9" s="34"/>
      <c r="H9" s="33"/>
      <c r="I9" s="33"/>
      <c r="J9" s="33">
        <f>$C$29*('E Balans VL '!D10+'E Balans VL '!E10)/100/3.6*1000000</f>
        <v>0</v>
      </c>
      <c r="K9" s="33"/>
      <c r="L9" s="33"/>
      <c r="M9" s="33"/>
      <c r="N9" s="33">
        <f>$C$29*'E Balans VL '!Y10/100/3.6*1000000</f>
        <v>97.122797141082287</v>
      </c>
      <c r="O9" s="33"/>
      <c r="P9" s="33"/>
      <c r="R9" s="32"/>
    </row>
    <row r="10" spans="1:18">
      <c r="A10" s="32" t="s">
        <v>50</v>
      </c>
      <c r="B10" s="37">
        <f t="shared" si="0"/>
        <v>1090.4407610656099</v>
      </c>
      <c r="C10" s="33"/>
      <c r="D10" s="37">
        <f>IF(ISERROR(TER_ander_gas_kWh/1000),0,TER_ander_gas_kWh/1000)*0.902</f>
        <v>1379.2120989433242</v>
      </c>
      <c r="E10" s="33">
        <f>$C$30*'E Balans VL '!I14/100/3.6*1000000</f>
        <v>5.0147711917879709</v>
      </c>
      <c r="F10" s="33">
        <f>$C$30*('E Balans VL '!L14+'E Balans VL '!N14)/100/3.6*1000000</f>
        <v>326.8394916843846</v>
      </c>
      <c r="G10" s="34"/>
      <c r="H10" s="33"/>
      <c r="I10" s="33"/>
      <c r="J10" s="33">
        <f>$C$30*('E Balans VL '!D14+'E Balans VL '!E14)/100/3.6*1000000</f>
        <v>0</v>
      </c>
      <c r="K10" s="33"/>
      <c r="L10" s="33"/>
      <c r="M10" s="33"/>
      <c r="N10" s="33">
        <f>$C$30*'E Balans VL '!Y14/100/3.6*1000000</f>
        <v>759.0187505345084</v>
      </c>
      <c r="O10" s="33"/>
      <c r="P10" s="33"/>
      <c r="R10" s="32"/>
    </row>
    <row r="11" spans="1:18">
      <c r="A11" s="32" t="s">
        <v>55</v>
      </c>
      <c r="B11" s="37">
        <f t="shared" si="0"/>
        <v>107.42051526572699</v>
      </c>
      <c r="C11" s="33"/>
      <c r="D11" s="37">
        <f>IF(ISERROR(TER_onderwijs_gas_kWh/1000),0,TER_onderwijs_gas_kWh/1000)*0.902</f>
        <v>681.21505686064972</v>
      </c>
      <c r="E11" s="33">
        <f>$C$31*'E Balans VL '!I11/100/3.6*1000000</f>
        <v>9.9646654649680519E-2</v>
      </c>
      <c r="F11" s="33">
        <f>$C$31*('E Balans VL '!L11+'E Balans VL '!N11)/100/3.6*1000000</f>
        <v>37.734358129809848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1660.16592603353</v>
      </c>
      <c r="C12" s="33"/>
      <c r="D12" s="37">
        <f>IF(ISERROR(TER_rest_gas_kWh/1000),0,TER_rest_gas_kWh/1000)*0.902</f>
        <v>6200.6968672569283</v>
      </c>
      <c r="E12" s="33">
        <f>$C$32*'E Balans VL '!I8/100/3.6*1000000</f>
        <v>20.136987339282154</v>
      </c>
      <c r="F12" s="33">
        <f>$C$32*('E Balans VL '!L8+'E Balans VL '!N8)/100/3.6*1000000</f>
        <v>328.51588017945693</v>
      </c>
      <c r="G12" s="34"/>
      <c r="H12" s="33"/>
      <c r="I12" s="33"/>
      <c r="J12" s="33">
        <f>$C$32*('E Balans VL '!D8+'E Balans VL '!E8)/100/3.6*1000000</f>
        <v>0</v>
      </c>
      <c r="K12" s="33"/>
      <c r="L12" s="33"/>
      <c r="M12" s="33"/>
      <c r="N12" s="33">
        <f>$C$32*'E Balans VL '!Y8/100/3.6*1000000</f>
        <v>131.7843689925372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26482.443641360704</v>
      </c>
      <c r="C16" s="21">
        <f t="shared" ca="1" si="1"/>
        <v>0</v>
      </c>
      <c r="D16" s="21">
        <f t="shared" ca="1" si="1"/>
        <v>42480.31125150009</v>
      </c>
      <c r="E16" s="21">
        <f t="shared" si="1"/>
        <v>273.45094772591881</v>
      </c>
      <c r="F16" s="21">
        <f t="shared" ca="1" si="1"/>
        <v>4831.2486792359559</v>
      </c>
      <c r="G16" s="21">
        <f t="shared" si="1"/>
        <v>0</v>
      </c>
      <c r="H16" s="21">
        <f t="shared" si="1"/>
        <v>0</v>
      </c>
      <c r="I16" s="21">
        <f t="shared" si="1"/>
        <v>0</v>
      </c>
      <c r="J16" s="21">
        <f t="shared" si="1"/>
        <v>0</v>
      </c>
      <c r="K16" s="21">
        <f t="shared" si="1"/>
        <v>0</v>
      </c>
      <c r="L16" s="21">
        <f t="shared" ca="1" si="1"/>
        <v>0</v>
      </c>
      <c r="M16" s="21">
        <f t="shared" si="1"/>
        <v>0</v>
      </c>
      <c r="N16" s="21">
        <f t="shared" ca="1" si="1"/>
        <v>1009.8467157451561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0.21018820272865432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5566.2972328404858</v>
      </c>
      <c r="C20" s="23">
        <f t="shared" ref="C20:P20" ca="1" si="2">C16*C18</f>
        <v>0</v>
      </c>
      <c r="D20" s="23">
        <f t="shared" ca="1" si="2"/>
        <v>8581.0228728030179</v>
      </c>
      <c r="E20" s="23">
        <f t="shared" si="2"/>
        <v>62.073365133783568</v>
      </c>
      <c r="F20" s="23">
        <f t="shared" ca="1" si="2"/>
        <v>1289.9433973560003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5886.4031024476599</v>
      </c>
      <c r="C26" s="39">
        <f>IF(ISERROR(B26*3.6/1000000/'E Balans VL '!Z12*100),0,B26*3.6/1000000/'E Balans VL '!Z12*100)</f>
        <v>0.12503011764104358</v>
      </c>
      <c r="D26" s="239" t="s">
        <v>692</v>
      </c>
      <c r="F26" s="6"/>
    </row>
    <row r="27" spans="1:18">
      <c r="A27" s="233" t="s">
        <v>53</v>
      </c>
      <c r="B27" s="33">
        <f>IF(ISERROR(TER_horeca_ele_kWh/1000),0,TER_horeca_ele_kWh/1000)</f>
        <v>2279.9728066233697</v>
      </c>
      <c r="C27" s="39">
        <f>IF(ISERROR(B27*3.6/1000000/'E Balans VL '!Z9*100),0,B27*3.6/1000000/'E Balans VL '!Z9*100)</f>
        <v>0.17728177092787159</v>
      </c>
      <c r="D27" s="239" t="s">
        <v>692</v>
      </c>
      <c r="F27" s="6"/>
    </row>
    <row r="28" spans="1:18">
      <c r="A28" s="173" t="s">
        <v>52</v>
      </c>
      <c r="B28" s="33">
        <f>IF(ISERROR(TER_handel_ele_kWh/1000),0,TER_handel_ele_kWh/1000)</f>
        <v>6023.54025216435</v>
      </c>
      <c r="C28" s="39">
        <f>IF(ISERROR(B28*3.6/1000000/'E Balans VL '!Z13*100),0,B28*3.6/1000000/'E Balans VL '!Z13*100)</f>
        <v>0.17234057561215038</v>
      </c>
      <c r="D28" s="239" t="s">
        <v>692</v>
      </c>
      <c r="F28" s="6"/>
    </row>
    <row r="29" spans="1:18">
      <c r="A29" s="233" t="s">
        <v>51</v>
      </c>
      <c r="B29" s="33">
        <f>IF(ISERROR(TER_gezond_ele_kWh/1000),0,TER_gezond_ele_kWh/1000)</f>
        <v>9434.5002777604586</v>
      </c>
      <c r="C29" s="39">
        <f>IF(ISERROR(B29*3.6/1000000/'E Balans VL '!Z10*100),0,B29*3.6/1000000/'E Balans VL '!Z10*100)</f>
        <v>1.0285797617695118</v>
      </c>
      <c r="D29" s="239" t="s">
        <v>692</v>
      </c>
      <c r="F29" s="6"/>
    </row>
    <row r="30" spans="1:18">
      <c r="A30" s="233" t="s">
        <v>50</v>
      </c>
      <c r="B30" s="33">
        <f>IF(ISERROR(TER_ander_ele_kWh/1000),0,TER_ander_ele_kWh/1000)</f>
        <v>1090.4407610656099</v>
      </c>
      <c r="C30" s="39">
        <f>IF(ISERROR(B30*3.6/1000000/'E Balans VL '!Z14*100),0,B30*3.6/1000000/'E Balans VL '!Z14*100)</f>
        <v>7.9795981288552795E-2</v>
      </c>
      <c r="D30" s="239" t="s">
        <v>692</v>
      </c>
      <c r="F30" s="6"/>
    </row>
    <row r="31" spans="1:18">
      <c r="A31" s="233" t="s">
        <v>55</v>
      </c>
      <c r="B31" s="33">
        <f>IF(ISERROR(TER_onderwijs_ele_kWh/1000),0,TER_onderwijs_ele_kWh/1000)</f>
        <v>107.42051526572699</v>
      </c>
      <c r="C31" s="39">
        <f>IF(ISERROR(B31*3.6/1000000/'E Balans VL '!Z11*100),0,B31*3.6/1000000/'E Balans VL '!Z11*100)</f>
        <v>2.1575490259396299E-2</v>
      </c>
      <c r="D31" s="239" t="s">
        <v>692</v>
      </c>
    </row>
    <row r="32" spans="1:18">
      <c r="A32" s="233" t="s">
        <v>260</v>
      </c>
      <c r="B32" s="33">
        <f>IF(ISERROR(TER_rest_ele_kWh/1000),0,TER_rest_ele_kWh/1000)</f>
        <v>1660.16592603353</v>
      </c>
      <c r="C32" s="39">
        <f>IF(ISERROR(B32*3.6/1000000/'E Balans VL '!Z8*100),0,B32*3.6/1000000/'E Balans VL '!Z8*100)</f>
        <v>1.35293447936632E-2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2619.5285001773191</v>
      </c>
      <c r="C5" s="17">
        <f>IF(ISERROR('Eigen informatie GS &amp; warmtenet'!B59),0,'Eigen informatie GS &amp; warmtenet'!B59)</f>
        <v>0</v>
      </c>
      <c r="D5" s="30">
        <f>SUM(D6:D15)</f>
        <v>3581.5555048817846</v>
      </c>
      <c r="E5" s="17">
        <f>SUM(E6:E15)</f>
        <v>460.73398651841933</v>
      </c>
      <c r="F5" s="17">
        <f>SUM(F6:F15)</f>
        <v>2018.9068078884115</v>
      </c>
      <c r="G5" s="18"/>
      <c r="H5" s="17"/>
      <c r="I5" s="17"/>
      <c r="J5" s="17">
        <f>SUM(J6:J15)</f>
        <v>0.65302572544701121</v>
      </c>
      <c r="K5" s="17"/>
      <c r="L5" s="17"/>
      <c r="M5" s="17"/>
      <c r="N5" s="17">
        <f>SUM(N6:N15)</f>
        <v>784.66164664154223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215.65302602137598</v>
      </c>
      <c r="C8" s="33"/>
      <c r="D8" s="37">
        <f>IF( ISERROR(IND_metaal_Gas_kWH/1000),0,IND_metaal_Gas_kWH/1000)*0.902</f>
        <v>112.84871538194047</v>
      </c>
      <c r="E8" s="33">
        <f>C30*'E Balans VL '!I18/100/3.6*1000000</f>
        <v>6.1943643694899535</v>
      </c>
      <c r="F8" s="33">
        <f>C30*'E Balans VL '!L18/100/3.6*1000000+C30*'E Balans VL '!N18/100/3.6*1000000</f>
        <v>55.310853570735098</v>
      </c>
      <c r="G8" s="34"/>
      <c r="H8" s="33"/>
      <c r="I8" s="33"/>
      <c r="J8" s="40">
        <f>C30*'E Balans VL '!D18/100/3.6*1000000+C30*'E Balans VL '!E18/100/3.6*1000000</f>
        <v>0</v>
      </c>
      <c r="K8" s="33"/>
      <c r="L8" s="33"/>
      <c r="M8" s="33"/>
      <c r="N8" s="33">
        <f>C30*'E Balans VL '!Y18/100/3.6*1000000</f>
        <v>5.8554198666744455</v>
      </c>
      <c r="O8" s="33"/>
      <c r="P8" s="33"/>
      <c r="R8" s="32"/>
    </row>
    <row r="9" spans="1:18">
      <c r="A9" s="6" t="s">
        <v>33</v>
      </c>
      <c r="B9" s="37">
        <f t="shared" si="0"/>
        <v>1435.2816538389</v>
      </c>
      <c r="C9" s="33"/>
      <c r="D9" s="37">
        <f>IF( ISERROR(IND_andere_gas_kWh/1000),0,IND_andere_gas_kWh/1000)*0.902</f>
        <v>1877.1570397558121</v>
      </c>
      <c r="E9" s="33">
        <f>C31*'E Balans VL '!I19/100/3.6*1000000</f>
        <v>388.49545436611623</v>
      </c>
      <c r="F9" s="33">
        <f>C31*'E Balans VL '!L19/100/3.6*1000000+C31*'E Balans VL '!N19/100/3.6*1000000</f>
        <v>956.04946598288018</v>
      </c>
      <c r="G9" s="34"/>
      <c r="H9" s="33"/>
      <c r="I9" s="33"/>
      <c r="J9" s="40">
        <f>C31*'E Balans VL '!D19/100/3.6*1000000+C31*'E Balans VL '!E19/100/3.6*1000000</f>
        <v>0</v>
      </c>
      <c r="K9" s="33"/>
      <c r="L9" s="33"/>
      <c r="M9" s="33"/>
      <c r="N9" s="33">
        <f>C31*'E Balans VL '!Y19/100/3.6*1000000</f>
        <v>468.59561790898704</v>
      </c>
      <c r="O9" s="33"/>
      <c r="P9" s="33"/>
      <c r="R9" s="32"/>
    </row>
    <row r="10" spans="1:18">
      <c r="A10" s="6" t="s">
        <v>41</v>
      </c>
      <c r="B10" s="37">
        <f t="shared" si="0"/>
        <v>633.09868683759998</v>
      </c>
      <c r="C10" s="33"/>
      <c r="D10" s="37">
        <f>IF( ISERROR(IND_voed_gas_kWh/1000),0,IND_voed_gas_kWh/1000)*0.902</f>
        <v>908.83364122593923</v>
      </c>
      <c r="E10" s="33">
        <f>C32*'E Balans VL '!I20/100/3.6*1000000</f>
        <v>51.636983404859443</v>
      </c>
      <c r="F10" s="33">
        <f>C32*'E Balans VL '!L20/100/3.6*1000000+C32*'E Balans VL '!N20/100/3.6*1000000</f>
        <v>944.00758182067625</v>
      </c>
      <c r="G10" s="34"/>
      <c r="H10" s="33"/>
      <c r="I10" s="33"/>
      <c r="J10" s="40">
        <f>C32*'E Balans VL '!D20/100/3.6*1000000+C32*'E Balans VL '!E20/100/3.6*1000000</f>
        <v>8.3751271481475164E-3</v>
      </c>
      <c r="K10" s="33"/>
      <c r="L10" s="33"/>
      <c r="M10" s="33"/>
      <c r="N10" s="33">
        <f>C32*'E Balans VL '!Y20/100/3.6*1000000</f>
        <v>185.98205454906437</v>
      </c>
      <c r="O10" s="33"/>
      <c r="P10" s="33"/>
      <c r="R10" s="32"/>
    </row>
    <row r="11" spans="1:18">
      <c r="A11" s="6" t="s">
        <v>40</v>
      </c>
      <c r="B11" s="37">
        <f t="shared" si="0"/>
        <v>49.058554530282898</v>
      </c>
      <c r="C11" s="33"/>
      <c r="D11" s="37">
        <f>IF( ISERROR(IND_textiel_gas_kWh/1000),0,IND_textiel_gas_kWh/1000)*0.902</f>
        <v>0</v>
      </c>
      <c r="E11" s="33">
        <f>C33*'E Balans VL '!I21/100/3.6*1000000</f>
        <v>9.7244092316883593E-3</v>
      </c>
      <c r="F11" s="33">
        <f>C33*'E Balans VL '!L21/100/3.6*1000000+C33*'E Balans VL '!N21/100/3.6*1000000</f>
        <v>1.8068857526853108</v>
      </c>
      <c r="G11" s="34"/>
      <c r="H11" s="33"/>
      <c r="I11" s="33"/>
      <c r="J11" s="40">
        <f>C33*'E Balans VL '!D21/100/3.6*1000000+C33*'E Balans VL '!E21/100/3.6*1000000</f>
        <v>0</v>
      </c>
      <c r="K11" s="33"/>
      <c r="L11" s="33"/>
      <c r="M11" s="33"/>
      <c r="N11" s="33">
        <f>C33*'E Balans VL '!Y21/100/3.6*1000000</f>
        <v>0.22810989413371524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34.920862435676604</v>
      </c>
      <c r="C13" s="33"/>
      <c r="D13" s="37">
        <f>IF( ISERROR(IND_papier_gas_kWh/1000),0,IND_papier_gas_kWh/1000)*0.902</f>
        <v>0</v>
      </c>
      <c r="E13" s="33">
        <f>C35*'E Balans VL '!I23/100/3.6*1000000</f>
        <v>0.36585965206110754</v>
      </c>
      <c r="F13" s="33">
        <f>C35*'E Balans VL '!L23/100/3.6*1000000+C35*'E Balans VL '!N23/100/3.6*1000000</f>
        <v>2.6058009445345243</v>
      </c>
      <c r="G13" s="34"/>
      <c r="H13" s="33"/>
      <c r="I13" s="33"/>
      <c r="J13" s="40">
        <f>C35*'E Balans VL '!D23/100/3.6*1000000+C35*'E Balans VL '!E23/100/3.6*1000000</f>
        <v>0</v>
      </c>
      <c r="K13" s="33"/>
      <c r="L13" s="33"/>
      <c r="M13" s="33"/>
      <c r="N13" s="33">
        <f>C35*'E Balans VL '!Y23/100/3.6*1000000</f>
        <v>74.63969852738505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251.51571651348399</v>
      </c>
      <c r="C15" s="33"/>
      <c r="D15" s="37">
        <f>IF( ISERROR(IND_rest_gas_kWh/1000),0,IND_rest_gas_kWh/1000)*0.902</f>
        <v>682.71610851809282</v>
      </c>
      <c r="E15" s="33">
        <f>C37*'E Balans VL '!I15/100/3.6*1000000</f>
        <v>14.031600316660921</v>
      </c>
      <c r="F15" s="33">
        <f>C37*'E Balans VL '!L15/100/3.6*1000000+C37*'E Balans VL '!N15/100/3.6*1000000</f>
        <v>59.126219816900061</v>
      </c>
      <c r="G15" s="34"/>
      <c r="H15" s="33"/>
      <c r="I15" s="33"/>
      <c r="J15" s="40">
        <f>C37*'E Balans VL '!D15/100/3.6*1000000+C37*'E Balans VL '!E15/100/3.6*1000000</f>
        <v>0.64465059829886373</v>
      </c>
      <c r="K15" s="33"/>
      <c r="L15" s="33"/>
      <c r="M15" s="33"/>
      <c r="N15" s="33">
        <f>C37*'E Balans VL '!Y15/100/3.6*1000000</f>
        <v>49.36074589529769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2619.5285001773191</v>
      </c>
      <c r="C18" s="21">
        <f>C5+C16</f>
        <v>0</v>
      </c>
      <c r="D18" s="21">
        <f>MAX((D5+D16),0)</f>
        <v>3581.5555048817846</v>
      </c>
      <c r="E18" s="21">
        <f>MAX((E5+E16),0)</f>
        <v>460.73398651841933</v>
      </c>
      <c r="F18" s="21">
        <f>MAX((F5+F16),0)</f>
        <v>2018.9068078884115</v>
      </c>
      <c r="G18" s="21"/>
      <c r="H18" s="21"/>
      <c r="I18" s="21"/>
      <c r="J18" s="21">
        <f>MAX((J5+J16),0)</f>
        <v>0.65302572544701121</v>
      </c>
      <c r="K18" s="21"/>
      <c r="L18" s="21">
        <f>MAX((L5+L16),0)</f>
        <v>0</v>
      </c>
      <c r="M18" s="21"/>
      <c r="N18" s="21">
        <f>MAX((N5+N16),0)</f>
        <v>784.66164664154223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0.21018820272865432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550.59398744875818</v>
      </c>
      <c r="C22" s="23">
        <f ca="1">C18*C20</f>
        <v>0</v>
      </c>
      <c r="D22" s="23">
        <f>D18*D20</f>
        <v>723.47421198612051</v>
      </c>
      <c r="E22" s="23">
        <f>E18*E20</f>
        <v>104.5866149396812</v>
      </c>
      <c r="F22" s="23">
        <f>F18*F20</f>
        <v>539.04811770620586</v>
      </c>
      <c r="G22" s="23"/>
      <c r="H22" s="23"/>
      <c r="I22" s="23"/>
      <c r="J22" s="23">
        <f>J18*J20</f>
        <v>0.23117110680824196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215.65302602137598</v>
      </c>
      <c r="C30" s="39">
        <f>IF(ISERROR(B30*3.6/1000000/'E Balans VL '!Z18*100),0,B30*3.6/1000000/'E Balans VL '!Z18*100)</f>
        <v>2.1219707256970387E-2</v>
      </c>
      <c r="D30" s="239" t="s">
        <v>692</v>
      </c>
    </row>
    <row r="31" spans="1:18">
      <c r="A31" s="6" t="s">
        <v>33</v>
      </c>
      <c r="B31" s="37">
        <f>IF( ISERROR(IND_ander_ele_kWh/1000),0,IND_ander_ele_kWh/1000)</f>
        <v>1435.2816538389</v>
      </c>
      <c r="C31" s="39">
        <f>IF(ISERROR(B31*3.6/1000000/'E Balans VL '!Z19*100),0,B31*3.6/1000000/'E Balans VL '!Z19*100)</f>
        <v>6.2505371111786959E-2</v>
      </c>
      <c r="D31" s="239" t="s">
        <v>692</v>
      </c>
    </row>
    <row r="32" spans="1:18">
      <c r="A32" s="173" t="s">
        <v>41</v>
      </c>
      <c r="B32" s="37">
        <f>IF( ISERROR(IND_voed_ele_kWh/1000),0,IND_voed_ele_kWh/1000)</f>
        <v>633.09868683759998</v>
      </c>
      <c r="C32" s="39">
        <f>IF(ISERROR(B32*3.6/1000000/'E Balans VL '!Z20*100),0,B32*3.6/1000000/'E Balans VL '!Z20*100)</f>
        <v>0.12012134555111503</v>
      </c>
      <c r="D32" s="239" t="s">
        <v>692</v>
      </c>
    </row>
    <row r="33" spans="1:5">
      <c r="A33" s="173" t="s">
        <v>40</v>
      </c>
      <c r="B33" s="37">
        <f>IF( ISERROR(IND_textiel_ele_kWh/1000),0,IND_textiel_ele_kWh/1000)</f>
        <v>49.058554530282898</v>
      </c>
      <c r="C33" s="39">
        <f>IF(ISERROR(B33*3.6/1000000/'E Balans VL '!Z21*100),0,B33*3.6/1000000/'E Balans VL '!Z21*100)</f>
        <v>2.8009946752212802E-3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34.920862435676604</v>
      </c>
      <c r="C35" s="39">
        <f>IF(ISERROR(B35*3.6/1000000/'E Balans VL '!Z22*100),0,B35*3.6/1000000/'E Balans VL '!Z22*100)</f>
        <v>4.9102239228266302E-3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251.51571651348399</v>
      </c>
      <c r="C37" s="39">
        <f>IF(ISERROR(B37*3.6/1000000/'E Balans VL '!Z15*100),0,B37*3.6/1000000/'E Balans VL '!Z15*100)</f>
        <v>1.9382375207145292E-3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520.98230607542996</v>
      </c>
      <c r="C5" s="17">
        <f>'Eigen informatie GS &amp; warmtenet'!B60</f>
        <v>0</v>
      </c>
      <c r="D5" s="30">
        <f>IF(ISERROR(SUM(LB_lb_gas_kWh,LB_rest_gas_kWh,onbekend_gas_kWh)/1000),0,SUM(LB_lb_gas_kWh,LB_rest_gas_kWh,onbekend_gas_kWh)/1000)*0.902</f>
        <v>4155.3145167010744</v>
      </c>
      <c r="E5" s="17">
        <f>B17*'E Balans VL '!I25/3.6*1000000/100</f>
        <v>6.5650482182216203</v>
      </c>
      <c r="F5" s="17">
        <f>B17*('E Balans VL '!L25/3.6*1000000+'E Balans VL '!N25/3.6*1000000)/100</f>
        <v>1797.5194698264286</v>
      </c>
      <c r="G5" s="18"/>
      <c r="H5" s="17"/>
      <c r="I5" s="17"/>
      <c r="J5" s="17">
        <f>('E Balans VL '!D25+'E Balans VL '!E25)/3.6*1000000*landbouw!B17/100</f>
        <v>78.349816515907264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520.98230607542996</v>
      </c>
      <c r="C8" s="21">
        <f>C5+C6</f>
        <v>0</v>
      </c>
      <c r="D8" s="21">
        <f>MAX((D5+D6),0)</f>
        <v>4155.3145167010744</v>
      </c>
      <c r="E8" s="21">
        <f>MAX((E5+E6),0)</f>
        <v>6.5650482182216203</v>
      </c>
      <c r="F8" s="21">
        <f>MAX((F5+F6),0)</f>
        <v>1797.5194698264286</v>
      </c>
      <c r="G8" s="21"/>
      <c r="H8" s="21"/>
      <c r="I8" s="21"/>
      <c r="J8" s="21">
        <f>MAX((J5+J6),0)</f>
        <v>78.349816515907264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0.21018820272865432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109.50433456742431</v>
      </c>
      <c r="C12" s="23">
        <f ca="1">C8*C10</f>
        <v>0</v>
      </c>
      <c r="D12" s="23">
        <f>D8*D10</f>
        <v>839.37353237361708</v>
      </c>
      <c r="E12" s="23">
        <f>E8*E10</f>
        <v>1.4902659455363079</v>
      </c>
      <c r="F12" s="23">
        <f>F8*F10</f>
        <v>479.93769844365647</v>
      </c>
      <c r="G12" s="23"/>
      <c r="H12" s="23"/>
      <c r="I12" s="23"/>
      <c r="J12" s="23">
        <f>J8*J10</f>
        <v>27.73583504663117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7.2660611288378987E-2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124.16405421023404</v>
      </c>
      <c r="C26" s="249">
        <f>B26*'GWP N2O_CH4'!B5</f>
        <v>2607.4451384149147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26.604062498930798</v>
      </c>
      <c r="C27" s="249">
        <f>B27*'GWP N2O_CH4'!B5</f>
        <v>558.68531247754674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1.3118565705808574</v>
      </c>
      <c r="C28" s="249">
        <f>B28*'GWP N2O_CH4'!B4</f>
        <v>406.67553688006581</v>
      </c>
      <c r="D28" s="50"/>
    </row>
    <row r="29" spans="1:4">
      <c r="A29" s="41" t="s">
        <v>277</v>
      </c>
      <c r="B29" s="249">
        <f>B34*'ha_N2O bodem landbouw'!B4</f>
        <v>6.1710626252829144</v>
      </c>
      <c r="C29" s="249">
        <f>B29*'GWP N2O_CH4'!B4</f>
        <v>1913.0294138377035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1.5408526745543649E-3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2.5099869548349637E-5</v>
      </c>
      <c r="C5" s="448" t="s">
        <v>211</v>
      </c>
      <c r="D5" s="433">
        <f>SUM(D6:D11)</f>
        <v>4.1417708377853338E-5</v>
      </c>
      <c r="E5" s="433">
        <f>SUM(E6:E11)</f>
        <v>1.3595606563606745E-3</v>
      </c>
      <c r="F5" s="446" t="s">
        <v>211</v>
      </c>
      <c r="G5" s="433">
        <f>SUM(G6:G11)</f>
        <v>0.37827457169512968</v>
      </c>
      <c r="H5" s="433">
        <f>SUM(H6:H11)</f>
        <v>6.2777898920622771E-2</v>
      </c>
      <c r="I5" s="448" t="s">
        <v>211</v>
      </c>
      <c r="J5" s="448" t="s">
        <v>211</v>
      </c>
      <c r="K5" s="448" t="s">
        <v>211</v>
      </c>
      <c r="L5" s="448" t="s">
        <v>211</v>
      </c>
      <c r="M5" s="433">
        <f>SUM(M6:M11)</f>
        <v>1.9935528227901272E-2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1.2514140577081332E-5</v>
      </c>
      <c r="C6" s="949"/>
      <c r="D6" s="949">
        <f>vkm_2011_GW_PW*SUMIFS(TableVerdeelsleutelVkm[CNG],TableVerdeelsleutelVkm[Voertuigtype],"Lichte voertuigen")*SUMIFS(TableECFTransport[EnergieConsumptieFactor (PJ per km)],TableECFTransport[Index],CONCATENATE($A6,"_CNG_CNG"))</f>
        <v>1.7722470580450496E-5</v>
      </c>
      <c r="E6" s="949">
        <f>vkm_2011_GW_PW*SUMIFS(TableVerdeelsleutelVkm[LPG],TableVerdeelsleutelVkm[Voertuigtype],"Lichte voertuigen")*SUMIFS(TableECFTransport[EnergieConsumptieFactor (PJ per km)],TableECFTransport[Index],CONCATENATE($A6,"_LPG_LPG"))</f>
        <v>5.5660445701850793E-4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0.10003706189130704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2.680573569224964E-2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5.7387734602552583E-3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5.7190276478420773E-2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2.031911235476968E-5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2.5808161827300382E-3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4.8690819375606517E-6</v>
      </c>
      <c r="C8" s="949"/>
      <c r="D8" s="436">
        <f>vkm_2011_NGW_PW*SUMIFS(TableVerdeelsleutelVkm[CNG],TableVerdeelsleutelVkm[Voertuigtype],"Lichte voertuigen")*SUMIFS(TableECFTransport[EnergieConsumptieFactor (PJ per km)],TableECFTransport[Index],CONCATENATE($A8,"_CNG_CNG"))</f>
        <v>1.2284579668194444E-5</v>
      </c>
      <c r="E8" s="436">
        <f>vkm_2011_NGW_PW*SUMIFS(TableVerdeelsleutelVkm[LPG],TableVerdeelsleutelVkm[Voertuigtype],"Lichte voertuigen")*SUMIFS(TableECFTransport[EnergieConsumptieFactor (PJ per km)],TableECFTransport[Index],CONCATENATE($A8,"_LPG_LPG"))</f>
        <v>3.5536526805276841E-4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6.0237858910739198E-2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1.7928617837847608E-2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3.5373857410575956E-3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2.1995736220384266E-3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7.3951287624628318E-7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9.9257876635291148E-5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7.716647033707656E-6</v>
      </c>
      <c r="C10" s="949"/>
      <c r="D10" s="436">
        <f>vkm_2011_SW_PW*SUMIFS(TableVerdeelsleutelVkm[CNG],TableVerdeelsleutelVkm[Voertuigtype],"Lichte voertuigen")*SUMIFS(TableECFTransport[EnergieConsumptieFactor (PJ per km)],TableECFTransport[Index],CONCATENATE($A10,"_CNG_CNG"))</f>
        <v>1.1410658129208395E-5</v>
      </c>
      <c r="E10" s="436">
        <f>vkm_2011_SW_PW*SUMIFS(TableVerdeelsleutelVkm[LPG],TableVerdeelsleutelVkm[Voertuigtype],"Lichte voertuigen")*SUMIFS(TableECFTransport[EnergieConsumptieFactor (PJ per km)],TableECFTransport[Index],CONCATENATE($A10,"_LPG_LPG"))</f>
        <v>4.4759093128939818E-4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7.2854645246963418E-2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1.7989630197042184E-2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4.1093269414905088E-3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8.5755155545660849E-2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3.2856568252323768E-5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3.8699680257325807E-3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6.9721859856526773</v>
      </c>
      <c r="C14" s="21"/>
      <c r="D14" s="21">
        <f t="shared" ref="D14:M14" si="0">((D5)*10^9/3600)+D12</f>
        <v>11.504918993848149</v>
      </c>
      <c r="E14" s="21">
        <f t="shared" si="0"/>
        <v>377.65573787796512</v>
      </c>
      <c r="F14" s="21"/>
      <c r="G14" s="21">
        <f t="shared" si="0"/>
        <v>105076.26991531381</v>
      </c>
      <c r="H14" s="21">
        <f t="shared" si="0"/>
        <v>17438.305255728548</v>
      </c>
      <c r="I14" s="21"/>
      <c r="J14" s="21"/>
      <c r="K14" s="21"/>
      <c r="L14" s="21"/>
      <c r="M14" s="21">
        <f t="shared" si="0"/>
        <v>5537.6467299725755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0.21018820272865432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1.4654712414142474</v>
      </c>
      <c r="C18" s="23"/>
      <c r="D18" s="23">
        <f t="shared" ref="D18:M18" si="1">D14*D16</f>
        <v>2.3239936367573262</v>
      </c>
      <c r="E18" s="23">
        <f t="shared" si="1"/>
        <v>85.727852498298091</v>
      </c>
      <c r="F18" s="23"/>
      <c r="G18" s="23">
        <f t="shared" si="1"/>
        <v>28055.364067388789</v>
      </c>
      <c r="H18" s="23">
        <f t="shared" si="1"/>
        <v>4342.1380086764084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6.8926084671453013E-3</v>
      </c>
      <c r="H50" s="323">
        <f t="shared" si="2"/>
        <v>0</v>
      </c>
      <c r="I50" s="323">
        <f t="shared" si="2"/>
        <v>0</v>
      </c>
      <c r="J50" s="323">
        <f t="shared" si="2"/>
        <v>0</v>
      </c>
      <c r="K50" s="323">
        <f t="shared" si="2"/>
        <v>0</v>
      </c>
      <c r="L50" s="323">
        <f t="shared" si="2"/>
        <v>0</v>
      </c>
      <c r="M50" s="323">
        <f t="shared" si="2"/>
        <v>3.0653115727789109E-4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6.8926084671453013E-3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3.0653115727789109E-4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1914.613463095917</v>
      </c>
      <c r="H54" s="21">
        <f t="shared" si="3"/>
        <v>0</v>
      </c>
      <c r="I54" s="21">
        <f t="shared" si="3"/>
        <v>0</v>
      </c>
      <c r="J54" s="21">
        <f t="shared" si="3"/>
        <v>0</v>
      </c>
      <c r="K54" s="21">
        <f t="shared" si="3"/>
        <v>0</v>
      </c>
      <c r="L54" s="21">
        <f t="shared" si="3"/>
        <v>0</v>
      </c>
      <c r="M54" s="21">
        <f t="shared" si="3"/>
        <v>85.147543688303088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0.21018820272865432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511.20179464660987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3790.2308704704592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3790.2308704704592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2019-01-02T18:02:03Z</dcterms:modified>
</cp:coreProperties>
</file>