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<sst xmlns="http://schemas.openxmlformats.org/spreadsheetml/2006/main" count="2169" uniqueCount="887">
  <si>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</si>
  <si>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</si>
  <si>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</si>
  <si>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</si>
  <si>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</si>
  <si>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</si>
  <si>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</si>
  <si>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</si>
  <si>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</si>
  <si>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</si>
  <si>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</si>
  <si>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</si>
  <si>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</si>
  <si>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</si>
  <si>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</si>
  <si>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</si>
  <si>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</si>
  <si>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</si>
  <si>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</si>
  <si>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</si>
  <si>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</si>
  <si>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</si>
  <si>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</si>
  <si>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</si>
  <si>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</si>
  <si>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</si>
  <si>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</si>
  <si>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</si>
  <si>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</si>
  <si>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</si>
  <si>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</si>
  <si>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</si>
  <si>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</si>
  <si>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</si>
  <si>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</si>
  <si>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</si>
  <si>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</si>
  <si>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</si>
  <si>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</si>
  <si>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</si>
  <si>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</si>
  <si>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</si>
  <si>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</si>
  <si>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</si>
  <si>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</si>
  <si>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</si>
  <si>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</si>
  <si>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</si>
  <si>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</si>
  <si>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</si>
  <si>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</si>
  <si>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</si>
  <si>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</si>
  <si>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</si>
  <si>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</si>
  <si>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</si>
  <si>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</si>
  <si>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</si>
  <si>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</si>
  <si>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</si>
  <si>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</si>
  <si>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</si>
  <si>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</si>
  <si>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</si>
  <si>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</si>
  <si>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</si>
  <si>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</si>
  <si>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</si>
  <si>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</si>
  <si>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</si>
  <si>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</si>
  <si>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</si>
  <si>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</si>
  <si>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</si>
  <si>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</si>
  <si>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</si>
  <si>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</si>
  <si>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</si>
  <si>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</si>
  <si>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</si>
  <si>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</si>
  <si>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</si>
  <si>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</si>
  <si>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</si>
  <si>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</si>
  <si>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</si>
  <si>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</si>
  <si>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</si>
  <si>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</si>
  <si>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</si>
  <si>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</si>
  <si>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</si>
  <si>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</si>
  <si>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</si>
  <si>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</si>
  <si>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</si>
  <si>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</si>
  <si>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</si>
  <si>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</si>
  <si>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</si>
  <si>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</si>
  <si>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</si>
  <si>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</si>
  <si>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</si>
  <si>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</si>
  <si>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</si>
  <si>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</si>
  <si>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</si>
  <si>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</si>
  <si>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</si>
  <si>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</si>
  <si>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</si>
  <si>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</si>
  <si>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</si>
  <si>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</si>
  <si>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</si>
  <si>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</si>
  <si>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</si>
  <si>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</si>
  <si>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</si>
  <si>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</si>
  <si>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</si>
  <si>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</si>
  <si>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</si>
  <si>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</si>
  <si>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</si>
  <si>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</si>
  <si>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</si>
  <si>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</si>
  <si>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</si>
  <si>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</si>
  <si>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</si>
  <si>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</si>
  <si>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</si>
  <si>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</si>
  <si>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</si>
  <si>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</si>
  <si>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</si>
  <si>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</si>
  <si>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</si>
  <si>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</si>
  <si>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</si>
  <si>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</si>
  <si>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</si>
  <si>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</si>
  <si>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</si>
  <si>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</si>
  <si>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</si>
  <si>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</si>
  <si>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</si>
  <si>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</si>
  <si>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</si>
  <si>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</si>
  <si>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</si>
  <si>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</si>
  <si>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</si>
  <si>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</si>
  <si>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</si>
  <si>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</si>
  <si>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</si>
  <si>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</si>
  <si>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</si>
  <si>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</si>
  <si>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</si>
  <si>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</si>
  <si>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</si>
  <si>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</si>
  <si>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</si>
  <si>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</si>
  <si>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</si>
  <si>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</si>
  <si>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</si>
  <si>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</si>
  <si>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</si>
  <si>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</si>
  <si>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</si>
  <si>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</si>
  <si>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</si>
  <si>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</si>
  <si>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</si>
  <si>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</si>
  <si>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</si>
  <si>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</si>
  <si>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</si>
  <si>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</si>
  <si>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</si>
  <si>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</si>
  <si>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</si>
  <si>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</si>
  <si>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</si>
  <si>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</si>
  <si>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</si>
  <si>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</si>
  <si>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</si>
  <si>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</si>
  <si>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</si>
  <si>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</si>
  <si>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</si>
  <si>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</si>
  <si>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</si>
  <si>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</si>
  <si>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</si>
  <si>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</si>
  <si>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</si>
  <si>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</si>
  <si>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</si>
  <si>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</si>
  <si>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</si>
  <si>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</si>
  <si>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</si>
  <si>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</si>
  <si>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</si>
  <si>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</si>
  <si>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</si>
  <si>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</si>
  <si>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</si>
  <si>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</si>
  <si>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</si>
  <si>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</si>
  <si>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</si>
  <si>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</si>
  <si>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</si>
  <si>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</si>
  <si>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</si>
  <si>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</si>
  <si>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</si>
  <si>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</si>
  <si>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</si>
  <si>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</si>
  <si>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</si>
  <si>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</si>
  <si>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</si>
  <si>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</si>
  <si>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</si>
  <si>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</si>
  <si>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</si>
  <si>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</si>
  <si>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</si>
  <si>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</si>
  <si>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</si>
  <si>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</si>
  <si>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</si>
  <si>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</si>
  <si>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</si>
  <si>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</si>
  <si>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</si>
  <si>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</si>
  <si>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</si>
  <si>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</si>
  <si>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</si>
  <si>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</si>
  <si>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</si>
  <si>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</si>
  <si>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</si>
  <si>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</si>
  <si>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</si>
  <si>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</si>
  <si>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</si>
  <si>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</si>
  <si>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</si>
  <si>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</si>
  <si>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</si>
  <si>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</si>
  <si>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</si>
  <si>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</si>
  <si>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</si>
  <si>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</si>
  <si>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</si>
  <si>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</si>
  <si>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</si>
  <si>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</si>
  <si>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</si>
  <si>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</si>
  <si>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</si>
  <si>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</si>
  <si>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</si>
  <si>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</si>
  <si>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</si>
  <si>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</si>
  <si>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</si>
  <si>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</si>
  <si>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</si>
  <si>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</si>
  <si>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</si>
  <si>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</si>
  <si>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</si>
  <si>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</si>
  <si>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</si>
  <si>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</si>
  <si>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</si>
  <si>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</si>
  <si>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</si>
  <si>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</si>
  <si>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</si>
  <si>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</si>
  <si>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</si>
  <si>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</si>
  <si>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</si>
  <si>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</si>
  <si>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</si>
  <si>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</si>
  <si>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</si>
  <si>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</si>
  <si>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</si>
  <si>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</si>
  <si>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</si>
  <si>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</si>
  <si>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</si>
  <si>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</si>
  <si>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</si>
  <si>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</si>
  <si>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</si>
  <si>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</si>
  <si>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</si>
  <si>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</si>
  <si>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</si>
  <si>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</si>
  <si>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</si>
  <si>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</si>
  <si>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</si>
  <si>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</si>
  <si>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</si>
  <si>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</si>
  <si>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</si>
  <si>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</si>
  <si>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</si>
  <si>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</si>
  <si>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</si>
  <si>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</si>
  <si>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</si>
  <si>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</si>
  <si>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</si>
  <si>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</si>
  <si>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</si>
  <si>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</si>
  <si>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</si>
  <si>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</si>
  <si>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</si>
  <si>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</si>
  <si>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</si>
  <si>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</si>
  <si>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</si>
  <si>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</si>
  <si>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</si>
  <si>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</si>
  <si>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</si>
  <si>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</si>
  <si>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</si>
  <si>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</si>
  <si>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</si>
  <si>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</si>
  <si>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</si>
  <si>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</si>
  <si>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</si>
  <si>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</si>
  <si>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</si>
  <si>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</si>
  <si>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</si>
  <si>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</si>
  <si>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</si>
  <si>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</si>
  <si>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</si>
  <si>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</si>
  <si>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</si>
  <si>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</si>
  <si>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</si>
  <si>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</si>
  <si>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</si>
  <si>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</si>
  <si>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</si>
  <si>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</si>
  <si>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</si>
  <si>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</si>
  <si>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</si>
  <si>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</si>
  <si>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</si>
  <si>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</si>
  <si>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</si>
  <si>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</si>
  <si>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</si>
  <si>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</si>
  <si>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</si>
  <si>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</si>
  <si>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</si>
  <si>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</si>
  <si>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</si>
  <si>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</si>
  <si>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</si>
  <si>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</si>
  <si>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</si>
  <si>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</si>
  <si>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</si>
  <si>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</si>
  <si>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</si>
  <si>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</si>
  <si>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</si>
  <si>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</si>
  <si>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</si>
  <si>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</si>
  <si>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</si>
  <si>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</si>
  <si>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</si>
  <si>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</si>
  <si>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</si>
  <si>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</si>
  <si>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</si>
  <si>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</si>
  <si>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</si>
  <si>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</si>
  <si>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</si>
  <si>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</si>
  <si>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</si>
  <si>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</si>
  <si>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</si>
  <si>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</si>
  <si>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</si>
  <si>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</si>
  <si>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</si>
  <si>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</si>
  <si>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</si>
  <si>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</si>
  <si>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</si>
  <si>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</si>
  <si>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</si>
  <si>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</si>
  <si>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</si>
  <si>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</si>
  <si>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</si>
  <si>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</si>
  <si>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</si>
  <si>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</si>
  <si>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</si>
  <si>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</si>
  <si>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</si>
  <si>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</si>
  <si>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</si>
  <si>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</si>
  <si>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</si>
  <si>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</si>
  <si>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</si>
  <si>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</si>
  <si>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</si>
  <si>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</si>
  <si>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</si>
  <si>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</si>
  <si>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</si>
  <si>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</si>
  <si>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</si>
  <si>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</si>
  <si>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</si>
  <si>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</si>
  <si>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</si>
  <si>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</si>
  <si>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</si>
  <si>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</si>
  <si>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</si>
  <si>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</si>
  <si>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</si>
  <si>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</si>
  <si>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</si>
  <si>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</si>
  <si>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</si>
  <si>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</si>
  <si>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</si>
  <si>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</si>
  <si>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</si>
  <si>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</si>
  <si>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</si>
  <si>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</si>
  <si>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</si>
  <si>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</si>
  <si>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</si>
  <si>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</si>
  <si>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</si>
  <si>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</si>
  <si>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</si>
  <si>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</si>
  <si>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</si>
  <si>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</si>
  <si>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</si>
  <si>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</si>
  <si>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</si>
  <si>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</si>
  <si>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</si>
  <si>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</si>
  <si>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</si>
  <si>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</si>
  <si>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</si>
  <si>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</si>
  <si>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</si>
  <si>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</si>
  <si>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</si>
  <si>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</si>
  <si>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</si>
  <si>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</si>
  <si>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</si>
  <si>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</si>
  <si>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</si>
  <si>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</si>
  <si>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</si>
  <si>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</si>
  <si>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</si>
  <si>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</si>
  <si>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</si>
  <si>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</si>
  <si>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</si>
  <si>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</si>
  <si>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</si>
  <si>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</si>
  <si>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</si>
  <si>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</si>
  <si>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</si>
  <si>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</si>
  <si>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</si>
  <si>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</si>
  <si>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</si>
  <si>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</si>
  <si>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</si>
  <si>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</si>
  <si>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</si>
  <si>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</si>
  <si>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</si>
  <si>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</si>
  <si>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</si>
  <si>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</si>
  <si>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</si>
  <si>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</si>
  <si>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</si>
  <si>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</si>
  <si>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</si>
  <si>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</si>
  <si>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</si>
  <si>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</si>
  <si>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</si>
  <si>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</si>
  <si>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</si>
  <si>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</si>
  <si>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</si>
  <si>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</si>
  <si>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</si>
  <si>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</si>
  <si>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</si>
  <si>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</si>
  <si>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</si>
  <si>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</si>
  <si>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</si>
  <si>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</si>
  <si>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</si>
  <si>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</si>
  <si>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</si>
  <si>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</si>
  <si>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</si>
  <si>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</si>
  <si>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</si>
  <si>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</si>
  <si>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</si>
  <si>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</si>
  <si>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</si>
  <si>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</si>
  <si>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</si>
  <si>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</si>
  <si>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</si>
  <si>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</si>
  <si>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</si>
  <si>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</si>
  <si>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</si>
  <si>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</si>
  <si>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</si>
  <si>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</si>
  <si>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</si>
  <si>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</si>
  <si>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</si>
  <si>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</si>
  <si>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</si>
  <si>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</si>
  <si>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</si>
  <si>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</si>
  <si>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</si>
  <si>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</si>
  <si>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</si>
  <si>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</si>
  <si>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</si>
  <si>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</si>
  <si>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</si>
  <si>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</si>
  <si>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</si>
  <si>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</si>
  <si>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</si>
  <si>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</si>
  <si>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</si>
  <si>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</si>
  <si>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</si>
  <si>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</si>
  <si>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</si>
  <si>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</si>
  <si>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</si>
  <si>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</si>
  <si>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</si>
  <si>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</si>
  <si>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</si>
  <si>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</si>
  <si>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</si>
  <si>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</si>
  <si>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</si>
  <si>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</si>
  <si>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</si>
  <si>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</si>
  <si>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</si>
  <si>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</si>
  <si>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</si>
  <si>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</si>
  <si>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</si>
  <si>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</si>
  <si>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</si>
  <si>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</si>
  <si>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</si>
  <si>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</si>
  <si>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</si>
  <si>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</si>
  <si>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</si>
  <si>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</si>
  <si>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</si>
  <si>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</si>
  <si>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</si>
  <si>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</si>
  <si>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</si>
  <si>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</si>
  <si>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</si>
  <si>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</si>
  <si>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</si>
  <si>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</si>
  <si>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</si>
  <si>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</si>
  <si>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</si>
  <si>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</si>
  <si>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</si>
  <si>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</si>
  <si>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</si>
  <si>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</si>
  <si>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</si>
  <si>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</si>
  <si>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</si>
  <si>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</si>
  <si>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</si>
  <si>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</si>
  <si>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</si>
  <si>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</si>
  <si>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</si>
  <si>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</si>
  <si>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</si>
  <si>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</si>
  <si>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</si>
  <si>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</si>
  <si>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</si>
  <si>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</si>
  <si>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</si>
  <si>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</si>
  <si>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</si>
  <si>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</si>
  <si>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</si>
  <si>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</si>
  <si>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</si>
  <si>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</si>
  <si>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</si>
  <si>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</si>
  <si>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</si>
  <si>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</si>
  <si>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</si>
  <si>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</si>
  <si>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</si>
  <si>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</si>
  <si>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</si>
  <si>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</si>
  <si>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</si>
  <si>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</si>
  <si>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</si>
  <si>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</si>
  <si>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</si>
  <si>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</si>
  <si>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</si>
  <si>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</si>
  <si>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</si>
  <si>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</si>
  <si>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</si>
  <si>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</si>
  <si>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</si>
  <si>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</si>
  <si>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</si>
  <si>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</si>
  <si>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</si>
  <si>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</si>
  <si>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</si>
  <si>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</si>
  <si>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</si>
  <si>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</si>
  <si>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</si>
  <si>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</si>
  <si>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</si>
  <si>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</si>
  <si>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</si>
  <si>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</si>
  <si>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</si>
  <si>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</si>
  <si>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</si>
  <si>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</si>
  <si>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</si>
  <si>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</si>
  <si>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</si>
  <si>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</si>
  <si>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</si>
  <si>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</si>
  <si>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</si>
  <si>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</si>
  <si>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</si>
  <si>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</si>
  <si>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</si>
  <si>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</si>
  <si>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</si>
  <si>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</si>
  <si>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</si>
  <si>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</si>
  <si>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</si>
  <si>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</si>
  <si>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</si>
  <si>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</si>
  <si>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</si>
  <si>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</si>
  <si>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</si>
  <si>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</si>
  <si>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</si>
  <si>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</si>
  <si>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</si>
  <si>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</si>
  <si>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</si>
  <si>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</si>
  <si>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</si>
  <si>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</si>
  <si>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</si>
  <si>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</si>
  <si>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</si>
  <si>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</si>
  <si>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</si>
  <si>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</si>
  <si>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</si>
  <si>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</si>
  <si>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</si>
  <si>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</si>
  <si>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</si>
  <si>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</si>
  <si>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</si>
  <si>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</si>
  <si>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</si>
  <si>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</si>
  <si>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</si>
  <si>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</si>
  <si>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</si>
  <si>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</si>
  <si>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</si>
  <si>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</si>
  <si>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</si>
  <si>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</si>
  <si>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</si>
  <si>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</si>
  <si>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</si>
  <si>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</si>
  <si>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</si>
  <si>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</si>
  <si>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</si>
  <si>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</si>
  <si>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</si>
  <si>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</si>
  <si>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</si>
  <si>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</si>
  <si>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</si>
  <si>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</si>
  <si>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</si>
  <si>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</si>
  <si>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</si>
  <si>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</si>
  <si>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</si>
  <si>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</si>
  <si>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</si>
  <si>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</si>
  <si>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</si>
  <si>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</si>
  <si>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</si>
  <si>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</si>
  <si>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</si>
  <si>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</si>
  <si>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</si>
  <si>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</si>
  <si>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</si>
  <si>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</si>
  <si>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</si>
  <si>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</si>
  <si>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</si>
  <si>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</si>
  <si>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</si>
  <si>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</si>
  <si>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</si>
  <si>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</si>
  <si>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</si>
  <si>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</si>
  <si>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</si>
  <si>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</si>
  <si>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</si>
  <si>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</si>
  <si>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</si>
  <si>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</si>
  <si>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</si>
  <si>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</si>
  <si>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</si>
  <si>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</si>
  <si>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</si>
  <si>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</si>
  <si>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</si>
  <si>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</si>
  <si>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</si>
  <si>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</si>
  <si>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</si>
  <si>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</si>
  <si>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</si>
  <si>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</si>
  <si>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</si>
  <si>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</si>
  <si>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</si>
  <si>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</si>
  <si>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</si>
  <si>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</si>
  <si>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</si>
  <si>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</si>
  <si>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</si>
  <si>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</si>
  <si>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</si>
  <si>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</si>
  <si>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</si>
  <si>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</si>
  <si>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</si>
  <si>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</si>
  <si>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</si>
  <si>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</si>
  <si>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</si>
  <si>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</si>
  <si>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</si>
  <si>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</si>
  <si>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</si>
  <si>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</si>
  <si>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</si>
  <si>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</si>
  <si>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</si>
  <si>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</si>
  <si>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</si>
  <si>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</si>
  <si>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</si>
  <si>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</si>
  <si>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</si>
  <si>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</si>
  <si>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</si>
  <si>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</si>
  <si>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</si>
  <si>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</si>
  <si>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</si>
  <si>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</si>
  <si>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</si>
  <si>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</si>
  <si>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</si>
  <si>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</si>
  <si>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</si>
  <si>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</si>
  <si>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</si>
  <si>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</si>
  <si>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11021</t>
  </si>
  <si>
    <t>HOVE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</si>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</sst>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73672.549930881316</c:v>
                </c:pt>
                <c:pt idx="1">
                  <c:v>21275.223621341473</c:v>
                </c:pt>
                <c:pt idx="2">
                  <c:v>688.48400000000004</c:v>
                </c:pt>
                <c:pt idx="3">
                  <c:v>2899.768527885014</c:v>
                </c:pt>
                <c:pt idx="4">
                  <c:v>4215.379309916787</c:v>
                </c:pt>
                <c:pt idx="5">
                  <c:v>13401.280108939034</c:v>
                </c:pt>
                <c:pt idx="6">
                  <c:v>964.395112201134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49184"/>
        <c:axId val="182355072"/>
      </c:barChart>
      <c:catAx>
        <c:axId val="182349184"/>
        <c:scaling>
          <c:orientation val="minMax"/>
        </c:scaling>
        <c:axPos val="b"/>
        <c:numFmt formatCode="General" sourceLinked="0"/>
        <c:tickLblPos val="nextTo"/>
        <c:crossAx val="182355072"/>
        <c:crosses val="autoZero"/>
        <c:auto val="1"/>
        <c:lblAlgn val="ctr"/>
        <c:lblOffset val="100"/>
      </c:catAx>
      <c:valAx>
        <c:axId val="182355072"/>
        <c:scaling>
          <c:orientation val="minMax"/>
        </c:scaling>
        <c:axPos val="l"/>
        <c:majorGridlines/>
        <c:numFmt formatCode="#,##0" sourceLinked="1"/>
        <c:tickLblPos val="nextTo"/>
        <c:crossAx val="182349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73672.549930881316</c:v>
                </c:pt>
                <c:pt idx="1">
                  <c:v>21275.223621341473</c:v>
                </c:pt>
                <c:pt idx="2">
                  <c:v>688.48400000000004</c:v>
                </c:pt>
                <c:pt idx="3">
                  <c:v>2899.768527885014</c:v>
                </c:pt>
                <c:pt idx="4">
                  <c:v>4215.379309916787</c:v>
                </c:pt>
                <c:pt idx="5">
                  <c:v>13401.280108939034</c:v>
                </c:pt>
                <c:pt idx="6">
                  <c:v>964.395112201134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14807.68350297958</c:v>
                </c:pt>
                <c:pt idx="1">
                  <c:v>4385.2540640176303</c:v>
                </c:pt>
                <c:pt idx="2">
                  <c:v>145.96547859366058</c:v>
                </c:pt>
                <c:pt idx="3">
                  <c:v>646.21781359761314</c:v>
                </c:pt>
                <c:pt idx="4">
                  <c:v>879.32217724563702</c:v>
                </c:pt>
                <c:pt idx="5">
                  <c:v>3376.4823124942714</c:v>
                </c:pt>
                <c:pt idx="6">
                  <c:v>246.52971551756764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46336"/>
        <c:axId val="182476800"/>
      </c:barChart>
      <c:catAx>
        <c:axId val="182446336"/>
        <c:scaling>
          <c:orientation val="minMax"/>
        </c:scaling>
        <c:axPos val="b"/>
        <c:numFmt formatCode="General" sourceLinked="0"/>
        <c:tickLblPos val="nextTo"/>
        <c:crossAx val="182476800"/>
        <c:crosses val="autoZero"/>
        <c:auto val="1"/>
        <c:lblAlgn val="ctr"/>
        <c:lblOffset val="100"/>
      </c:catAx>
      <c:valAx>
        <c:axId val="182476800"/>
        <c:scaling>
          <c:orientation val="minMax"/>
        </c:scaling>
        <c:axPos val="l"/>
        <c:majorGridlines/>
        <c:numFmt formatCode="#,##0" sourceLinked="1"/>
        <c:tickLblPos val="nextTo"/>
        <c:crossAx val="182446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14807.68350297958</c:v>
                </c:pt>
                <c:pt idx="1">
                  <c:v>4385.2540640176303</c:v>
                </c:pt>
                <c:pt idx="2">
                  <c:v>145.96547859366058</c:v>
                </c:pt>
                <c:pt idx="3">
                  <c:v>646.21781359761314</c:v>
                </c:pt>
                <c:pt idx="4">
                  <c:v>879.32217724563702</c:v>
                </c:pt>
                <c:pt idx="5">
                  <c:v>3376.4823124942714</c:v>
                </c:pt>
                <c:pt idx="6">
                  <c:v>246.52971551756764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11021</v>
      </c>
      <c r="B6" s="398"/>
      <c r="C6" s="399"/>
    </row>
    <row r="7" spans="1:7" s="396" customFormat="1" ht="15.75" customHeight="1">
      <c r="A7" s="400" t="str">
        <f>txtMunicipality</f>
        <v>HOVE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3159</v>
      </c>
      <c r="C9" s="338">
        <v>3350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151</v>
      </c>
    </row>
    <row r="15" spans="1:6">
      <c r="A15" s="1269" t="s">
        <v>184</v>
      </c>
      <c r="B15" s="335">
        <v>5</v>
      </c>
    </row>
    <row r="16" spans="1:6">
      <c r="A16" s="1269" t="s">
        <v>6</v>
      </c>
      <c r="B16" s="335">
        <v>462</v>
      </c>
    </row>
    <row r="17" spans="1:6">
      <c r="A17" s="1269" t="s">
        <v>7</v>
      </c>
      <c r="B17" s="335">
        <v>11</v>
      </c>
    </row>
    <row r="18" spans="1:6">
      <c r="A18" s="1269" t="s">
        <v>8</v>
      </c>
      <c r="B18" s="335">
        <v>246</v>
      </c>
    </row>
    <row r="19" spans="1:6">
      <c r="A19" s="1269" t="s">
        <v>9</v>
      </c>
      <c r="B19" s="335">
        <v>186</v>
      </c>
    </row>
    <row r="20" spans="1:6">
      <c r="A20" s="1269" t="s">
        <v>10</v>
      </c>
      <c r="B20" s="335">
        <v>32</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88</v>
      </c>
    </row>
    <row r="27" spans="1:6">
      <c r="A27" s="1269" t="s">
        <v>17</v>
      </c>
      <c r="B27" s="335">
        <v>0</v>
      </c>
    </row>
    <row r="28" spans="1:6" s="341" customFormat="1">
      <c r="A28" s="1270" t="s">
        <v>18</v>
      </c>
      <c r="B28" s="1270">
        <v>0</v>
      </c>
    </row>
    <row r="29" spans="1:6">
      <c r="A29" s="1270" t="s">
        <v>874</v>
      </c>
      <c r="B29" s="1270">
        <v>1</v>
      </c>
      <c r="C29" s="341"/>
      <c r="D29" s="341"/>
      <c r="E29" s="341"/>
      <c r="F29" s="341"/>
    </row>
    <row r="30" spans="1:6">
      <c r="A30" s="1265" t="s">
        <v>875</v>
      </c>
      <c r="B30" s="1265">
        <v>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17699.089880024101</v>
      </c>
      <c r="E38" s="335">
        <v>1</v>
      </c>
      <c r="F38" s="335">
        <v>3000</v>
      </c>
    </row>
    <row r="39" spans="1:6">
      <c r="A39" s="1269" t="s">
        <v>30</v>
      </c>
      <c r="B39" s="1269" t="s">
        <v>31</v>
      </c>
      <c r="C39" s="335">
        <v>2569</v>
      </c>
      <c r="D39" s="335">
        <v>59700098.066282302</v>
      </c>
      <c r="E39" s="335">
        <v>3095</v>
      </c>
      <c r="F39" s="335">
        <v>13886221.6829965</v>
      </c>
    </row>
    <row r="40" spans="1:6">
      <c r="A40" s="1269" t="s">
        <v>30</v>
      </c>
      <c r="B40" s="1269" t="s">
        <v>29</v>
      </c>
      <c r="C40" s="335">
        <v>0</v>
      </c>
      <c r="D40" s="335">
        <v>0</v>
      </c>
      <c r="E40" s="335">
        <v>0</v>
      </c>
      <c r="F40" s="335">
        <v>0</v>
      </c>
    </row>
    <row r="41" spans="1:6">
      <c r="A41" s="1269" t="s">
        <v>32</v>
      </c>
      <c r="B41" s="1269" t="s">
        <v>33</v>
      </c>
      <c r="C41" s="335">
        <v>8</v>
      </c>
      <c r="D41" s="335">
        <v>159792.82085689501</v>
      </c>
      <c r="E41" s="335">
        <v>37</v>
      </c>
      <c r="F41" s="335">
        <v>223987.324577072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17</v>
      </c>
      <c r="D48" s="335">
        <v>579357.24894684402</v>
      </c>
      <c r="E48" s="335">
        <v>21</v>
      </c>
      <c r="F48" s="335">
        <v>197244.547956328</v>
      </c>
    </row>
    <row r="49" spans="1:6">
      <c r="A49" s="1269" t="s">
        <v>32</v>
      </c>
      <c r="B49" s="1269" t="s">
        <v>40</v>
      </c>
      <c r="C49" s="335">
        <v>0</v>
      </c>
      <c r="D49" s="335">
        <v>0</v>
      </c>
      <c r="E49" s="335">
        <v>0</v>
      </c>
      <c r="F49" s="335">
        <v>0</v>
      </c>
    </row>
    <row r="50" spans="1:6">
      <c r="A50" s="1269" t="s">
        <v>32</v>
      </c>
      <c r="B50" s="1269" t="s">
        <v>41</v>
      </c>
      <c r="C50" s="335">
        <v>6</v>
      </c>
      <c r="D50" s="335">
        <v>1022430.50366264</v>
      </c>
      <c r="E50" s="335">
        <v>8</v>
      </c>
      <c r="F50" s="335">
        <v>636910.15842267103</v>
      </c>
    </row>
    <row r="51" spans="1:6">
      <c r="A51" s="1269" t="s">
        <v>42</v>
      </c>
      <c r="B51" s="1269" t="s">
        <v>43</v>
      </c>
      <c r="C51" s="335">
        <v>0</v>
      </c>
      <c r="D51" s="335">
        <v>0</v>
      </c>
      <c r="E51" s="335">
        <v>8</v>
      </c>
      <c r="F51" s="335">
        <v>201982.86129282601</v>
      </c>
    </row>
    <row r="52" spans="1:6">
      <c r="A52" s="1269" t="s">
        <v>42</v>
      </c>
      <c r="B52" s="1269" t="s">
        <v>29</v>
      </c>
      <c r="C52" s="335">
        <v>2</v>
      </c>
      <c r="D52" s="335">
        <v>39338.3331926916</v>
      </c>
      <c r="E52" s="335">
        <v>5</v>
      </c>
      <c r="F52" s="335">
        <v>53022.477250965203</v>
      </c>
    </row>
    <row r="53" spans="1:6">
      <c r="A53" s="1269" t="s">
        <v>44</v>
      </c>
      <c r="B53" s="1269" t="s">
        <v>45</v>
      </c>
      <c r="C53" s="335">
        <v>58</v>
      </c>
      <c r="D53" s="335">
        <v>1802136.6623235201</v>
      </c>
      <c r="E53" s="335">
        <v>88</v>
      </c>
      <c r="F53" s="335">
        <v>512789.51618306001</v>
      </c>
    </row>
    <row r="54" spans="1:6">
      <c r="A54" s="1269" t="s">
        <v>46</v>
      </c>
      <c r="B54" s="1269" t="s">
        <v>47</v>
      </c>
      <c r="C54" s="335">
        <v>0</v>
      </c>
      <c r="D54" s="335">
        <v>0</v>
      </c>
      <c r="E54" s="335">
        <v>1</v>
      </c>
      <c r="F54" s="335">
        <v>688484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349560.33902639803</v>
      </c>
      <c r="E57" s="335">
        <v>28</v>
      </c>
      <c r="F57" s="335">
        <v>193168.02680408899</v>
      </c>
    </row>
    <row r="58" spans="1:6">
      <c r="A58" s="1269" t="s">
        <v>49</v>
      </c>
      <c r="B58" s="1269" t="s">
        <v>51</v>
      </c>
      <c r="C58" s="335">
        <v>24</v>
      </c>
      <c r="D58" s="335">
        <v>1551494.7911148199</v>
      </c>
      <c r="E58" s="335">
        <v>30</v>
      </c>
      <c r="F58" s="335">
        <v>360012.63804941601</v>
      </c>
    </row>
    <row r="59" spans="1:6">
      <c r="A59" s="1269" t="s">
        <v>49</v>
      </c>
      <c r="B59" s="1269" t="s">
        <v>52</v>
      </c>
      <c r="C59" s="335">
        <v>29</v>
      </c>
      <c r="D59" s="335">
        <v>978820.46517492703</v>
      </c>
      <c r="E59" s="335">
        <v>50</v>
      </c>
      <c r="F59" s="335">
        <v>1175925.4983117401</v>
      </c>
    </row>
    <row r="60" spans="1:6">
      <c r="A60" s="1269" t="s">
        <v>49</v>
      </c>
      <c r="B60" s="1269" t="s">
        <v>53</v>
      </c>
      <c r="C60" s="335">
        <v>16</v>
      </c>
      <c r="D60" s="335">
        <v>753795.57116393896</v>
      </c>
      <c r="E60" s="335">
        <v>17</v>
      </c>
      <c r="F60" s="335">
        <v>345244.742707567</v>
      </c>
    </row>
    <row r="61" spans="1:6">
      <c r="A61" s="1269" t="s">
        <v>49</v>
      </c>
      <c r="B61" s="1269" t="s">
        <v>54</v>
      </c>
      <c r="C61" s="335">
        <v>109</v>
      </c>
      <c r="D61" s="335">
        <v>5458704.3016442005</v>
      </c>
      <c r="E61" s="335">
        <v>191</v>
      </c>
      <c r="F61" s="335">
        <v>2682372.2080820799</v>
      </c>
    </row>
    <row r="62" spans="1:6">
      <c r="A62" s="1269" t="s">
        <v>49</v>
      </c>
      <c r="B62" s="1269" t="s">
        <v>55</v>
      </c>
      <c r="C62" s="335">
        <v>0</v>
      </c>
      <c r="D62" s="335">
        <v>0</v>
      </c>
      <c r="E62" s="335">
        <v>0</v>
      </c>
      <c r="F62" s="335">
        <v>0</v>
      </c>
    </row>
    <row r="63" spans="1:6">
      <c r="A63" s="1269" t="s">
        <v>49</v>
      </c>
      <c r="B63" s="1269" t="s">
        <v>29</v>
      </c>
      <c r="C63" s="335">
        <v>90</v>
      </c>
      <c r="D63" s="335">
        <v>4306001.6676649703</v>
      </c>
      <c r="E63" s="335">
        <v>96</v>
      </c>
      <c r="F63" s="335">
        <v>2660581.9240775001</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14950623</v>
      </c>
      <c r="E73" s="335">
        <v>12526522.273578998</v>
      </c>
    </row>
    <row r="74" spans="1:6">
      <c r="A74" s="1269" t="s">
        <v>64</v>
      </c>
      <c r="B74" s="1269" t="s">
        <v>727</v>
      </c>
      <c r="C74" s="1269" t="s">
        <v>728</v>
      </c>
      <c r="D74" s="335">
        <v>438628.15582660632</v>
      </c>
      <c r="E74" s="335">
        <v>396840.64119546337</v>
      </c>
    </row>
    <row r="75" spans="1:6">
      <c r="A75" s="1269" t="s">
        <v>65</v>
      </c>
      <c r="B75" s="1269" t="s">
        <v>725</v>
      </c>
      <c r="C75" s="1269" t="s">
        <v>729</v>
      </c>
      <c r="D75" s="335">
        <v>3793643</v>
      </c>
      <c r="E75" s="335">
        <v>3176505.2942970293</v>
      </c>
    </row>
    <row r="76" spans="1:6">
      <c r="A76" s="1269" t="s">
        <v>65</v>
      </c>
      <c r="B76" s="1269" t="s">
        <v>727</v>
      </c>
      <c r="C76" s="1269" t="s">
        <v>730</v>
      </c>
      <c r="D76" s="335">
        <v>5641.2000000000007</v>
      </c>
      <c r="E76" s="335">
        <v>5156.2500353388086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254781.6883467873</v>
      </c>
      <c r="C83" s="335">
        <v>251707.72099841459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948.04718170915442</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2061</v>
      </c>
    </row>
    <row r="98" spans="1:6">
      <c r="A98" s="1269" t="s">
        <v>72</v>
      </c>
      <c r="B98" s="335">
        <v>1</v>
      </c>
    </row>
    <row r="99" spans="1:6">
      <c r="A99" s="1269" t="s">
        <v>73</v>
      </c>
      <c r="B99" s="335">
        <v>4</v>
      </c>
    </row>
    <row r="100" spans="1:6">
      <c r="A100" s="1269" t="s">
        <v>74</v>
      </c>
      <c r="B100" s="335">
        <v>226</v>
      </c>
    </row>
    <row r="101" spans="1:6">
      <c r="A101" s="1269" t="s">
        <v>75</v>
      </c>
      <c r="B101" s="335">
        <v>12</v>
      </c>
    </row>
    <row r="102" spans="1:6">
      <c r="A102" s="1269" t="s">
        <v>76</v>
      </c>
      <c r="B102" s="335">
        <v>31</v>
      </c>
    </row>
    <row r="103" spans="1:6">
      <c r="A103" s="1269" t="s">
        <v>77</v>
      </c>
      <c r="B103" s="335">
        <v>25</v>
      </c>
    </row>
    <row r="104" spans="1:6">
      <c r="A104" s="1269" t="s">
        <v>78</v>
      </c>
      <c r="B104" s="335">
        <v>568</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v>
      </c>
      <c r="C123" s="335">
        <v>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1</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24297.87878312626</v>
      </c>
      <c r="C3" s="43" t="s">
        <v>170</v>
      </c>
      <c r="D3" s="43"/>
      <c r="E3" s="156"/>
      <c r="F3" s="43"/>
      <c r="G3" s="43"/>
      <c r="H3" s="43"/>
      <c r="I3" s="43"/>
      <c r="J3" s="43"/>
      <c r="K3" s="96"/>
    </row>
    <row r="4" spans="1:11">
      <c r="A4" s="366" t="s">
        <v>171</v>
      </c>
      <c r="B4" s="49">
        <f>IF(ISERROR('SEAP template'!B69),0,'SEAP template'!B69)</f>
        <v>1035.3471817091545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10.373294117647058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0.21200997930766813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14.818991596638654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124.71428571428569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0.11882352941176472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688.48400000000004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688.48400000000004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0.21200997930766813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145.96547859366058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13886.2216829965</v>
      </c>
      <c r="C5" s="17">
        <f>IF(ISERROR('Eigen informatie GS &amp; warmtenet'!B57),0,'Eigen informatie GS &amp; warmtenet'!B57)</f>
        <v>0</v>
      </c>
      <c r="D5" s="30">
        <f>(SUM(HH_hh_gas_kWh,HH_rest_gas_kWh)/1000)*0.902</f>
        <v>53849.488455786632</v>
      </c>
      <c r="E5" s="17">
        <f>B46*B57</f>
        <v>162.98183717405456</v>
      </c>
      <c r="F5" s="17">
        <f>B51*B62</f>
        <v>2801.786227796018</v>
      </c>
      <c r="G5" s="18"/>
      <c r="H5" s="17"/>
      <c r="I5" s="17"/>
      <c r="J5" s="17">
        <f>B50*B61+C50*C61</f>
        <v>0</v>
      </c>
      <c r="K5" s="17"/>
      <c r="L5" s="17"/>
      <c r="M5" s="17"/>
      <c r="N5" s="17">
        <f>B48*B59+C48*C59</f>
        <v>1833.0212120856258</v>
      </c>
      <c r="O5" s="17">
        <f>B69*B70*B71</f>
        <v>76.603333333333339</v>
      </c>
      <c r="P5" s="17">
        <f>B77*B78*B79/1000-B77*B78*B79/1000/B80</f>
        <v>114.4</v>
      </c>
    </row>
    <row r="6" spans="1:16">
      <c r="A6" s="16" t="s">
        <v>634</v>
      </c>
      <c r="B6" s="831">
        <f>kWh_PV_kleiner_dan_10kW</f>
        <v>948.04718170915442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14834.268864705655</v>
      </c>
      <c r="C8" s="21">
        <f>C5</f>
        <v>0</v>
      </c>
      <c r="D8" s="21">
        <f>D5</f>
        <v>53849.488455786632</v>
      </c>
      <c r="E8" s="21">
        <f>E5</f>
        <v>162.98183717405456</v>
      </c>
      <c r="F8" s="21">
        <f>F5</f>
        <v>2801.786227796018</v>
      </c>
      <c r="G8" s="21"/>
      <c r="H8" s="21"/>
      <c r="I8" s="21"/>
      <c r="J8" s="21">
        <f>J5</f>
        <v>0</v>
      </c>
      <c r="K8" s="21"/>
      <c r="L8" s="21">
        <f>L5</f>
        <v>0</v>
      </c>
      <c r="M8" s="21">
        <f>M5</f>
        <v>0</v>
      </c>
      <c r="N8" s="21">
        <f>N5</f>
        <v>1833.0212120856258</v>
      </c>
      <c r="O8" s="21">
        <f>O5</f>
        <v>76.603333333333339</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0.21200997930766813</v>
      </c>
      <c r="C10" s="25">
        <f ca="1">'EF ele_warmte'!B22</f>
        <v>0.11882352941176472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3145.0130350506315</v>
      </c>
      <c r="C12" s="23">
        <f ca="1">C10*C8</f>
        <v>0</v>
      </c>
      <c r="D12" s="23">
        <f>D8*D10</f>
        <v>10877.5966680689</v>
      </c>
      <c r="E12" s="23">
        <f>E10*E8</f>
        <v>36.996877038510384</v>
      </c>
      <c r="F12" s="23">
        <f>F10*F8</f>
        <v>748.07692282153687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2061</v>
      </c>
      <c r="C18" s="168" t="s">
        <v>111</v>
      </c>
      <c r="D18" s="230"/>
      <c r="E18" s="15"/>
    </row>
    <row r="19" spans="1:7">
      <c r="A19" s="173" t="s">
        <v>72</v>
      </c>
      <c r="B19" s="37">
        <f>aantalw2001_ander</f>
        <v>1</v>
      </c>
      <c r="C19" s="168" t="s">
        <v>111</v>
      </c>
      <c r="D19" s="231"/>
      <c r="E19" s="15"/>
    </row>
    <row r="20" spans="1:7">
      <c r="A20" s="173" t="s">
        <v>73</v>
      </c>
      <c r="B20" s="37">
        <f>aantalw2001_propaan</f>
        <v>4</v>
      </c>
      <c r="C20" s="169">
        <f>IF(ISERROR(B20/SUM($B$20,$B$21,$B$22)*100),0,B20/SUM($B$20,$B$21,$B$22)*100)</f>
        <v>1.6528925619834711</v>
      </c>
      <c r="D20" s="231"/>
      <c r="E20" s="15"/>
    </row>
    <row r="21" spans="1:7">
      <c r="A21" s="173" t="s">
        <v>74</v>
      </c>
      <c r="B21" s="37">
        <f>aantalw2001_elektriciteit</f>
        <v>226</v>
      </c>
      <c r="C21" s="169">
        <f>IF(ISERROR(B21/SUM($B$20,$B$21,$B$22)*100),0,B21/SUM($B$20,$B$21,$B$22)*100)</f>
        <v>93.388429752066116</v>
      </c>
      <c r="D21" s="231"/>
      <c r="E21" s="15"/>
    </row>
    <row r="22" spans="1:7">
      <c r="A22" s="173" t="s">
        <v>75</v>
      </c>
      <c r="B22" s="37">
        <f>aantalw2001_hout</f>
        <v>12</v>
      </c>
      <c r="C22" s="169">
        <f>IF(ISERROR(B22/SUM($B$20,$B$21,$B$22)*100),0,B22/SUM($B$20,$B$21,$B$22)*100)</f>
        <v>4.9586776859504136</v>
      </c>
      <c r="D22" s="231"/>
      <c r="E22" s="15"/>
    </row>
    <row r="23" spans="1:7">
      <c r="A23" s="173" t="s">
        <v>76</v>
      </c>
      <c r="B23" s="37">
        <f>aantalw2001_niet_gespec</f>
        <v>31</v>
      </c>
      <c r="C23" s="168" t="s">
        <v>111</v>
      </c>
      <c r="D23" s="230"/>
      <c r="E23" s="15"/>
    </row>
    <row r="24" spans="1:7">
      <c r="A24" s="173" t="s">
        <v>77</v>
      </c>
      <c r="B24" s="37">
        <f>aantalw2001_steenkool</f>
        <v>25</v>
      </c>
      <c r="C24" s="168" t="s">
        <v>111</v>
      </c>
      <c r="D24" s="231"/>
      <c r="E24" s="15"/>
    </row>
    <row r="25" spans="1:7">
      <c r="A25" s="173" t="s">
        <v>78</v>
      </c>
      <c r="B25" s="37">
        <f>aantalw2001_stookolie</f>
        <v>568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3159</v>
      </c>
      <c r="C28" s="36"/>
      <c r="D28" s="230"/>
    </row>
    <row r="29" spans="1:7" s="15" customFormat="1">
      <c r="A29" s="232" t="s">
        <v>746</v>
      </c>
      <c r="B29" s="37">
        <f>SUM(HH_hh_gas_aantal,HH_rest_gas_aantal)</f>
        <v>2569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2569</v>
      </c>
      <c r="C32" s="169">
        <f>IF(ISERROR(B32/SUM($B$32,$B$34,$B$35,$B$36,$B$38,$B$39)*100),0,B32/SUM($B$32,$B$34,$B$35,$B$36,$B$38,$B$39)*100)</f>
        <v>81.477957500792897</v>
      </c>
      <c r="D32" s="235"/>
      <c r="G32" s="15"/>
    </row>
    <row r="33" spans="1:7">
      <c r="A33" s="173" t="s">
        <v>72</v>
      </c>
      <c r="B33" s="34" t="s">
        <v>111</v>
      </c>
      <c r="C33" s="169"/>
      <c r="D33" s="235"/>
      <c r="G33" s="15"/>
    </row>
    <row r="34" spans="1:7">
      <c r="A34" s="173" t="s">
        <v>73</v>
      </c>
      <c r="B34" s="33">
        <f>IF((($B$28-$B$32-$B$39-$B$77-$B$38)*C20/100)&lt;0,0,($B$28-$B$32-$B$39-$B$77-$B$38)*C20/100)</f>
        <v>7.8214876033057852</v>
      </c>
      <c r="C34" s="169">
        <f>IF(ISERROR(B34/SUM($B$32,$B$34,$B$35,$B$36,$B$38,$B$39)*100),0,B34/SUM($B$32,$B$34,$B$35,$B$36,$B$38,$B$39)*100)</f>
        <v>0.24806494143056723</v>
      </c>
      <c r="D34" s="235"/>
      <c r="G34" s="15"/>
    </row>
    <row r="35" spans="1:7">
      <c r="A35" s="173" t="s">
        <v>74</v>
      </c>
      <c r="B35" s="33">
        <f>IF((($B$28-$B$32-$B$39-$B$77-$B$38)*C21/100)&lt;0,0,($B$28-$B$32-$B$39-$B$77-$B$38)*C21/100)</f>
        <v>441.9140495867768</v>
      </c>
      <c r="C35" s="169">
        <f>IF(ISERROR(B35/SUM($B$32,$B$34,$B$35,$B$36,$B$38,$B$39)*100),0,B35/SUM($B$32,$B$34,$B$35,$B$36,$B$38,$B$39)*100)</f>
        <v>14.015669190827046</v>
      </c>
      <c r="D35" s="235"/>
      <c r="G35" s="15"/>
    </row>
    <row r="36" spans="1:7">
      <c r="A36" s="173" t="s">
        <v>75</v>
      </c>
      <c r="B36" s="33">
        <f>IF((($B$28-$B$32-$B$39-$B$77-$B$38)*C22/100)&lt;0,0,($B$28-$B$32-$B$39-$B$77-$B$38)*C22/100)</f>
        <v>23.464462809917357</v>
      </c>
      <c r="C36" s="169">
        <f>IF(ISERROR(B36/SUM($B$32,$B$34,$B$35,$B$36,$B$38,$B$39)*100),0,B36/SUM($B$32,$B$34,$B$35,$B$36,$B$38,$B$39)*100)</f>
        <v>0.74419482429170181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110.80000000000001</v>
      </c>
      <c r="C39" s="169">
        <f>IF(ISERROR(B39/SUM($B$32,$B$34,$B$35,$B$36,$B$38,$B$39)*100),0,B39/SUM($B$32,$B$34,$B$35,$B$36,$B$38,$B$39)*100)</f>
        <v>3.5141135426577867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2569</v>
      </c>
      <c r="C44" s="34" t="s">
        <v>111</v>
      </c>
      <c r="D44" s="176"/>
    </row>
    <row r="45" spans="1:7">
      <c r="A45" s="173" t="s">
        <v>72</v>
      </c>
      <c r="B45" s="33" t="str">
        <f t="shared" si="0"/>
        <v>-</v>
      </c>
      <c r="C45" s="34" t="s">
        <v>111</v>
      </c>
      <c r="D45" s="176"/>
    </row>
    <row r="46" spans="1:7">
      <c r="A46" s="173" t="s">
        <v>73</v>
      </c>
      <c r="B46" s="33">
        <f t="shared" si="0"/>
        <v>7.8214876033057852</v>
      </c>
      <c r="C46" s="34" t="s">
        <v>111</v>
      </c>
      <c r="D46" s="176"/>
    </row>
    <row r="47" spans="1:7">
      <c r="A47" s="173" t="s">
        <v>74</v>
      </c>
      <c r="B47" s="33">
        <f t="shared" si="0"/>
        <v>441.9140495867768</v>
      </c>
      <c r="C47" s="34" t="s">
        <v>111</v>
      </c>
      <c r="D47" s="176"/>
    </row>
    <row r="48" spans="1:7">
      <c r="A48" s="173" t="s">
        <v>75</v>
      </c>
      <c r="B48" s="33">
        <f t="shared" si="0"/>
        <v>23.464462809917357</v>
      </c>
      <c r="C48" s="33">
        <f>B48*10</f>
        <v>234.64462809917359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110.80000000000001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7417.3050380323921</v>
      </c>
      <c r="C5" s="17">
        <f>IF(ISERROR('Eigen informatie GS &amp; warmtenet'!B58),0,'Eigen informatie GS &amp; warmtenet'!B58)</f>
        <v>0</v>
      </c>
      <c r="D5" s="30">
        <f>SUM(D6:D12)</f>
        <v>12085.336176481909</v>
      </c>
      <c r="E5" s="17">
        <f>SUM(E6:E12)</f>
        <v>80.362861753653661</v>
      </c>
      <c r="F5" s="17">
        <f>SUM(F6:F12)</f>
        <v>1354.9050690542413</v>
      </c>
      <c r="G5" s="18"/>
      <c r="H5" s="17"/>
      <c r="I5" s="17"/>
      <c r="J5" s="17">
        <f>SUM(J6:J12)</f>
        <v>0</v>
      </c>
      <c r="K5" s="17"/>
      <c r="L5" s="17"/>
      <c r="M5" s="17"/>
      <c r="N5" s="17">
        <f>SUM(N6:N12)</f>
        <v>354.45828554308861</v>
      </c>
      <c r="O5" s="17">
        <f>B38*B39*B40</f>
        <v>1.5633333333333335</v>
      </c>
      <c r="P5" s="17">
        <f>B46*B47*B48/1000-B46*B47*B48/1000/B49</f>
        <v>0</v>
      </c>
      <c r="R5" s="32"/>
    </row>
    <row r="6" spans="1:18">
      <c r="A6" s="32" t="s">
        <v>54</v>
      </c>
      <c r="B6" s="37">
        <f>B26</f>
        <v>2682.3722080820799</v>
      </c>
      <c r="C6" s="33"/>
      <c r="D6" s="37">
        <f>IF(ISERROR(TER_kantoor_gas_kWh/1000),0,TER_kantoor_gas_kWh/1000)*0.902</f>
        <v>4923.7512800830691</v>
      </c>
      <c r="E6" s="33">
        <f>$C$26*'E Balans VL '!I12/100/3.6*1000000</f>
        <v>10.421583919683426</v>
      </c>
      <c r="F6" s="33">
        <f>$C$26*('E Balans VL '!L12+'E Balans VL '!N12)/100/3.6*1000000</f>
        <v>407.96440520813684</v>
      </c>
      <c r="G6" s="34"/>
      <c r="H6" s="33"/>
      <c r="I6" s="33"/>
      <c r="J6" s="33">
        <f>$C$26*('E Balans VL '!D12+'E Balans VL '!E12)/100/3.6*1000000</f>
        <v>0</v>
      </c>
      <c r="K6" s="33"/>
      <c r="L6" s="33"/>
      <c r="M6" s="33"/>
      <c r="N6" s="33">
        <f>$C$26*'E Balans VL '!Y12/100/3.6*1000000</f>
        <v>1.4783084269301254</v>
      </c>
      <c r="O6" s="33"/>
      <c r="P6" s="33"/>
      <c r="R6" s="32"/>
    </row>
    <row r="7" spans="1:18">
      <c r="A7" s="32" t="s">
        <v>53</v>
      </c>
      <c r="B7" s="37">
        <f t="shared" ref="B7:B12" si="0">B27</f>
        <v>345.24474270756701</v>
      </c>
      <c r="C7" s="33"/>
      <c r="D7" s="37">
        <f>IF(ISERROR(TER_horeca_gas_kWh/1000),0,TER_horeca_gas_kWh/1000)*0.902</f>
        <v>679.92360518987289</v>
      </c>
      <c r="E7" s="33">
        <f>$C$27*'E Balans VL '!I9/100/3.6*1000000</f>
        <v>19.447728659868435</v>
      </c>
      <c r="F7" s="33">
        <f>$C$27*('E Balans VL '!L9+'E Balans VL '!N9)/100/3.6*1000000</f>
        <v>99.547914416061104</v>
      </c>
      <c r="G7" s="34"/>
      <c r="H7" s="33"/>
      <c r="I7" s="33"/>
      <c r="J7" s="33">
        <f>$C$27*('E Balans VL '!D9+'E Balans VL '!E9)/100/3.6*1000000</f>
        <v>0</v>
      </c>
      <c r="K7" s="33"/>
      <c r="L7" s="33"/>
      <c r="M7" s="33"/>
      <c r="N7" s="33">
        <f>$C$27*'E Balans VL '!Y9/100/3.6*1000000</f>
        <v>9.5320279401078525E-2</v>
      </c>
      <c r="O7" s="33"/>
      <c r="P7" s="33"/>
      <c r="R7" s="32"/>
    </row>
    <row r="8" spans="1:18">
      <c r="A8" s="6" t="s">
        <v>52</v>
      </c>
      <c r="B8" s="37">
        <f t="shared" si="0"/>
        <v>1175.9254983117401</v>
      </c>
      <c r="C8" s="33"/>
      <c r="D8" s="37">
        <f>IF(ISERROR(TER_handel_gas_kWh/1000),0,TER_handel_gas_kWh/1000)*0.902</f>
        <v>882.89605958778418</v>
      </c>
      <c r="E8" s="33">
        <f>$C$28*'E Balans VL '!I13/100/3.6*1000000</f>
        <v>16.949075949027915</v>
      </c>
      <c r="F8" s="33">
        <f>$C$28*('E Balans VL '!L13+'E Balans VL '!N13)/100/3.6*1000000</f>
        <v>204.28564451366574</v>
      </c>
      <c r="G8" s="34"/>
      <c r="H8" s="33"/>
      <c r="I8" s="33"/>
      <c r="J8" s="33">
        <f>$C$28*('E Balans VL '!D13+'E Balans VL '!E13)/100/3.6*1000000</f>
        <v>0</v>
      </c>
      <c r="K8" s="33"/>
      <c r="L8" s="33"/>
      <c r="M8" s="33"/>
      <c r="N8" s="33">
        <f>$C$28*'E Balans VL '!Y13/100/3.6*1000000</f>
        <v>3.5232036996651441</v>
      </c>
      <c r="O8" s="33"/>
      <c r="P8" s="33"/>
      <c r="R8" s="32"/>
    </row>
    <row r="9" spans="1:18">
      <c r="A9" s="32" t="s">
        <v>51</v>
      </c>
      <c r="B9" s="37">
        <f t="shared" si="0"/>
        <v>360.01263804941601</v>
      </c>
      <c r="C9" s="33"/>
      <c r="D9" s="37">
        <f>IF(ISERROR(TER_gezond_gas_kWh/1000),0,TER_gezond_gas_kWh/1000)*0.902</f>
        <v>1399.4483015855676</v>
      </c>
      <c r="E9" s="33">
        <f>$C$29*'E Balans VL '!I10/100/3.6*1000000</f>
        <v>0.3845868092857897</v>
      </c>
      <c r="F9" s="33">
        <f>$C$29*('E Balans VL '!L10+'E Balans VL '!N10)/100/3.6*1000000</f>
        <v>58.729002460501036</v>
      </c>
      <c r="G9" s="34"/>
      <c r="H9" s="33"/>
      <c r="I9" s="33"/>
      <c r="J9" s="33">
        <f>$C$29*('E Balans VL '!D10+'E Balans VL '!E10)/100/3.6*1000000</f>
        <v>0</v>
      </c>
      <c r="K9" s="33"/>
      <c r="L9" s="33"/>
      <c r="M9" s="33"/>
      <c r="N9" s="33">
        <f>$C$29*'E Balans VL '!Y10/100/3.6*1000000</f>
        <v>3.7061246896056423</v>
      </c>
      <c r="O9" s="33"/>
      <c r="P9" s="33"/>
      <c r="R9" s="32"/>
    </row>
    <row r="10" spans="1:18">
      <c r="A10" s="32" t="s">
        <v>50</v>
      </c>
      <c r="B10" s="37">
        <f t="shared" si="0"/>
        <v>193.16802680408898</v>
      </c>
      <c r="C10" s="33"/>
      <c r="D10" s="37">
        <f>IF(ISERROR(TER_ander_gas_kWh/1000),0,TER_ander_gas_kWh/1000)*0.902</f>
        <v>315.30342580181104</v>
      </c>
      <c r="E10" s="33">
        <f>$C$30*'E Balans VL '!I14/100/3.6*1000000</f>
        <v>0.88835037223391855</v>
      </c>
      <c r="F10" s="33">
        <f>$C$30*('E Balans VL '!L14+'E Balans VL '!N14)/100/3.6*1000000</f>
        <v>57.898550700385364</v>
      </c>
      <c r="G10" s="34"/>
      <c r="H10" s="33"/>
      <c r="I10" s="33"/>
      <c r="J10" s="33">
        <f>$C$30*('E Balans VL '!D14+'E Balans VL '!E14)/100/3.6*1000000</f>
        <v>0</v>
      </c>
      <c r="K10" s="33"/>
      <c r="L10" s="33"/>
      <c r="M10" s="33"/>
      <c r="N10" s="33">
        <f>$C$30*'E Balans VL '!Y14/100/3.6*1000000</f>
        <v>134.45769782558074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2660.5819240774999</v>
      </c>
      <c r="C12" s="33"/>
      <c r="D12" s="37">
        <f>IF(ISERROR(TER_rest_gas_kWh/1000),0,TER_rest_gas_kWh/1000)*0.902</f>
        <v>3884.0135042338034</v>
      </c>
      <c r="E12" s="33">
        <f>$C$32*'E Balans VL '!I8/100/3.6*1000000</f>
        <v>32.271536043554178</v>
      </c>
      <c r="F12" s="33">
        <f>$C$32*('E Balans VL '!L8+'E Balans VL '!N8)/100/3.6*1000000</f>
        <v>526.47955175549123</v>
      </c>
      <c r="G12" s="34"/>
      <c r="H12" s="33"/>
      <c r="I12" s="33"/>
      <c r="J12" s="33">
        <f>$C$32*('E Balans VL '!D8+'E Balans VL '!E8)/100/3.6*1000000</f>
        <v>0</v>
      </c>
      <c r="K12" s="33"/>
      <c r="L12" s="33"/>
      <c r="M12" s="33"/>
      <c r="N12" s="33">
        <f>$C$32*'E Balans VL '!Y8/100/3.6*1000000</f>
        <v>211.19763062190589</v>
      </c>
      <c r="O12" s="33"/>
      <c r="P12" s="33"/>
      <c r="R12" s="32"/>
    </row>
    <row r="13" spans="1:18">
      <c r="A13" s="16" t="s">
        <v>497</v>
      </c>
      <c r="B13" s="249">
        <f ca="1">'lokale energieproductie'!N90+'lokale energieproductie'!N59</f>
        <v>43.649999999999991</v>
      </c>
      <c r="C13" s="249">
        <f ca="1">'lokale energieproductie'!O90+'lokale energieproductie'!O59</f>
        <v>62.357142857142847</v>
      </c>
      <c r="D13" s="312">
        <f ca="1">('lokale energieproductie'!P59+'lokale energieproductie'!P90)*(-1)</f>
        <v>-124.71428571428569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7460.9550380323917</v>
      </c>
      <c r="C16" s="21">
        <f t="shared" ca="1" si="1"/>
        <v>62.357142857142847</v>
      </c>
      <c r="D16" s="21">
        <f t="shared" ca="1" si="1"/>
        <v>11960.621890767623</v>
      </c>
      <c r="E16" s="21">
        <f t="shared" si="1"/>
        <v>80.362861753653661</v>
      </c>
      <c r="F16" s="21">
        <f t="shared" ca="1" si="1"/>
        <v>1354.9050690542413</v>
      </c>
      <c r="G16" s="21">
        <f t="shared" si="1"/>
        <v>0</v>
      </c>
      <c r="H16" s="21">
        <f t="shared" si="1"/>
        <v>0</v>
      </c>
      <c r="I16" s="21">
        <f t="shared" si="1"/>
        <v>0</v>
      </c>
      <c r="J16" s="21">
        <f t="shared" si="1"/>
        <v>0</v>
      </c>
      <c r="K16" s="21">
        <f t="shared" si="1"/>
        <v>0</v>
      </c>
      <c r="L16" s="21">
        <f t="shared" ca="1" si="1"/>
        <v>0</v>
      </c>
      <c r="M16" s="21">
        <f t="shared" si="1"/>
        <v>0</v>
      </c>
      <c r="N16" s="21">
        <f t="shared" ca="1" si="1"/>
        <v>354.45828554308861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0.21200997930766813</v>
      </c>
      <c r="C18" s="25">
        <f ca="1">'EF ele_warmte'!B22</f>
        <v>0.11882352941176472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1581.7969232286896</v>
      </c>
      <c r="C20" s="23">
        <f t="shared" ref="C20:P20" ca="1" si="2">C16*C18</f>
        <v>7.4094957983193268</v>
      </c>
      <c r="D20" s="23">
        <f t="shared" ca="1" si="2"/>
        <v>2416.0456219350599</v>
      </c>
      <c r="E20" s="23">
        <f t="shared" si="2"/>
        <v>18.242369618079383</v>
      </c>
      <c r="F20" s="23">
        <f t="shared" ca="1" si="2"/>
        <v>361.75965343748243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2682.3722080820799</v>
      </c>
      <c r="C26" s="39">
        <f>IF(ISERROR(B26*3.6/1000000/'E Balans VL '!Z12*100),0,B26*3.6/1000000/'E Balans VL '!Z12*100)</f>
        <v>5.6974914374129937E-2</v>
      </c>
      <c r="D26" s="239" t="s">
        <v>692</v>
      </c>
      <c r="F26" s="6"/>
    </row>
    <row r="27" spans="1:18">
      <c r="A27" s="233" t="s">
        <v>53</v>
      </c>
      <c r="B27" s="33">
        <f>IF(ISERROR(TER_horeca_ele_kWh/1000),0,TER_horeca_ele_kWh/1000)</f>
        <v>345.24474270756701</v>
      </c>
      <c r="C27" s="39">
        <f>IF(ISERROR(B27*3.6/1000000/'E Balans VL '!Z9*100),0,B27*3.6/1000000/'E Balans VL '!Z9*100)</f>
        <v>2.6844881313027633E-2</v>
      </c>
      <c r="D27" s="239" t="s">
        <v>692</v>
      </c>
      <c r="F27" s="6"/>
    </row>
    <row r="28" spans="1:18">
      <c r="A28" s="173" t="s">
        <v>52</v>
      </c>
      <c r="B28" s="33">
        <f>IF(ISERROR(TER_handel_ele_kWh/1000),0,TER_handel_ele_kWh/1000)</f>
        <v>1175.9254983117401</v>
      </c>
      <c r="C28" s="39">
        <f>IF(ISERROR(B28*3.6/1000000/'E Balans VL '!Z13*100),0,B28*3.6/1000000/'E Balans VL '!Z13*100)</f>
        <v>3.3644612432569262E-2</v>
      </c>
      <c r="D28" s="239" t="s">
        <v>692</v>
      </c>
      <c r="F28" s="6"/>
    </row>
    <row r="29" spans="1:18">
      <c r="A29" s="233" t="s">
        <v>51</v>
      </c>
      <c r="B29" s="33">
        <f>IF(ISERROR(TER_gezond_ele_kWh/1000),0,TER_gezond_ele_kWh/1000)</f>
        <v>360.01263804941601</v>
      </c>
      <c r="C29" s="39">
        <f>IF(ISERROR(B29*3.6/1000000/'E Balans VL '!Z10*100),0,B29*3.6/1000000/'E Balans VL '!Z10*100)</f>
        <v>3.9249743237782096E-2</v>
      </c>
      <c r="D29" s="239" t="s">
        <v>692</v>
      </c>
      <c r="F29" s="6"/>
    </row>
    <row r="30" spans="1:18">
      <c r="A30" s="233" t="s">
        <v>50</v>
      </c>
      <c r="B30" s="33">
        <f>IF(ISERROR(TER_ander_ele_kWh/1000),0,TER_ander_ele_kWh/1000)</f>
        <v>193.16802680408898</v>
      </c>
      <c r="C30" s="39">
        <f>IF(ISERROR(B30*3.6/1000000/'E Balans VL '!Z14*100),0,B30*3.6/1000000/'E Balans VL '!Z14*100)</f>
        <v>1.4135598010241945E-2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2660.5819240774999</v>
      </c>
      <c r="C32" s="39">
        <f>IF(ISERROR(B32*3.6/1000000/'E Balans VL '!Z8*100),0,B32*3.6/1000000/'E Balans VL '!Z8*100)</f>
        <v>2.16821280560997E-2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1058.142030956071</v>
      </c>
      <c r="C5" s="17">
        <f>IF(ISERROR('Eigen informatie GS &amp; warmtenet'!B59),0,'Eigen informatie GS &amp; warmtenet'!B59)</f>
        <v>0</v>
      </c>
      <c r="D5" s="30">
        <f>SUM(D6:D15)</f>
        <v>1588.945677266674</v>
      </c>
      <c r="E5" s="17">
        <f>SUM(E6:E15)</f>
        <v>123.5796287669053</v>
      </c>
      <c r="F5" s="17">
        <f>SUM(F6:F15)</f>
        <v>1145.2582667122174</v>
      </c>
      <c r="G5" s="18"/>
      <c r="H5" s="17"/>
      <c r="I5" s="17"/>
      <c r="J5" s="17">
        <f>SUM(J6:J15)</f>
        <v>0.51397572866848174</v>
      </c>
      <c r="K5" s="17"/>
      <c r="L5" s="17"/>
      <c r="M5" s="17"/>
      <c r="N5" s="17">
        <f>SUM(N6:N15)</f>
        <v>298.9397304862502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223.987324577072</v>
      </c>
      <c r="C9" s="33"/>
      <c r="D9" s="37">
        <f>IF( ISERROR(IND_andere_gas_kWh/1000),0,IND_andere_gas_kWh/1000)*0.902</f>
        <v>144.1331244129193</v>
      </c>
      <c r="E9" s="33">
        <f>C31*'E Balans VL '!I19/100/3.6*1000000</f>
        <v>60.627861577604669</v>
      </c>
      <c r="F9" s="33">
        <f>C31*'E Balans VL '!L19/100/3.6*1000000+C31*'E Balans VL '!N19/100/3.6*1000000</f>
        <v>149.19926097855614</v>
      </c>
      <c r="G9" s="34"/>
      <c r="H9" s="33"/>
      <c r="I9" s="33"/>
      <c r="J9" s="40">
        <f>C31*'E Balans VL '!D19/100/3.6*1000000+C31*'E Balans VL '!E19/100/3.6*1000000</f>
        <v>0</v>
      </c>
      <c r="K9" s="33"/>
      <c r="L9" s="33"/>
      <c r="M9" s="33"/>
      <c r="N9" s="33">
        <f>C31*'E Balans VL '!Y19/100/3.6*1000000</f>
        <v>73.128140726415793</v>
      </c>
      <c r="O9" s="33"/>
      <c r="P9" s="33"/>
      <c r="R9" s="32"/>
    </row>
    <row r="10" spans="1:18">
      <c r="A10" s="6" t="s">
        <v>41</v>
      </c>
      <c r="B10" s="37">
        <f t="shared" si="0"/>
        <v>636.91015842267097</v>
      </c>
      <c r="C10" s="33"/>
      <c r="D10" s="37">
        <f>IF( ISERROR(IND_voed_gas_kWh/1000),0,IND_voed_gas_kWh/1000)*0.902</f>
        <v>922.23231430370129</v>
      </c>
      <c r="E10" s="33">
        <f>C32*'E Balans VL '!I20/100/3.6*1000000</f>
        <v>51.947855783965942</v>
      </c>
      <c r="F10" s="33">
        <f>C32*'E Balans VL '!L20/100/3.6*1000000+C32*'E Balans VL '!N20/100/3.6*1000000</f>
        <v>949.69083176101913</v>
      </c>
      <c r="G10" s="34"/>
      <c r="H10" s="33"/>
      <c r="I10" s="33"/>
      <c r="J10" s="40">
        <f>C32*'E Balans VL '!D20/100/3.6*1000000+C32*'E Balans VL '!E20/100/3.6*1000000</f>
        <v>8.4255482907121485E-3</v>
      </c>
      <c r="K10" s="33"/>
      <c r="L10" s="33"/>
      <c r="M10" s="33"/>
      <c r="N10" s="33">
        <f>C32*'E Balans VL '!Y20/100/3.6*1000000</f>
        <v>187.10173040842801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197.24454795632801</v>
      </c>
      <c r="C15" s="33"/>
      <c r="D15" s="37">
        <f>IF( ISERROR(IND_rest_gas_kWh/1000),0,IND_rest_gas_kWh/1000)*0.902</f>
        <v>522.58023855005331</v>
      </c>
      <c r="E15" s="33">
        <f>C37*'E Balans VL '!I15/100/3.6*1000000</f>
        <v>11.003911405334689</v>
      </c>
      <c r="F15" s="33">
        <f>C37*'E Balans VL '!L15/100/3.6*1000000+C37*'E Balans VL '!N15/100/3.6*1000000</f>
        <v>46.368173972642033</v>
      </c>
      <c r="G15" s="34"/>
      <c r="H15" s="33"/>
      <c r="I15" s="33"/>
      <c r="J15" s="40">
        <f>C37*'E Balans VL '!D15/100/3.6*1000000+C37*'E Balans VL '!E15/100/3.6*1000000</f>
        <v>0.50555018037776955</v>
      </c>
      <c r="K15" s="33"/>
      <c r="L15" s="33"/>
      <c r="M15" s="33"/>
      <c r="N15" s="33">
        <f>C37*'E Balans VL '!Y15/100/3.6*1000000</f>
        <v>38.709859351406401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1058.142030956071</v>
      </c>
      <c r="C18" s="21">
        <f>C5+C16</f>
        <v>0</v>
      </c>
      <c r="D18" s="21">
        <f>MAX((D5+D16),0)</f>
        <v>1588.945677266674</v>
      </c>
      <c r="E18" s="21">
        <f>MAX((E5+E16),0)</f>
        <v>123.5796287669053</v>
      </c>
      <c r="F18" s="21">
        <f>MAX((F5+F16),0)</f>
        <v>1145.2582667122174</v>
      </c>
      <c r="G18" s="21"/>
      <c r="H18" s="21"/>
      <c r="I18" s="21"/>
      <c r="J18" s="21">
        <f>MAX((J5+J16),0)</f>
        <v>0.51397572866848174</v>
      </c>
      <c r="K18" s="21"/>
      <c r="L18" s="21">
        <f>MAX((L5+L16),0)</f>
        <v>0</v>
      </c>
      <c r="M18" s="21"/>
      <c r="N18" s="21">
        <f>MAX((N5+N16),0)</f>
        <v>298.9397304862502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0.21200997930766813</v>
      </c>
      <c r="C20" s="25">
        <f ca="1">'EF ele_warmte'!B22</f>
        <v>0.11882352941176472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224.33667008757055</v>
      </c>
      <c r="C22" s="23">
        <f ca="1">C18*C20</f>
        <v>0</v>
      </c>
      <c r="D22" s="23">
        <f>D18*D20</f>
        <v>320.96702680786819</v>
      </c>
      <c r="E22" s="23">
        <f>E18*E20</f>
        <v>28.052575730087504</v>
      </c>
      <c r="F22" s="23">
        <f>F18*F20</f>
        <v>305.78395721216208</v>
      </c>
      <c r="G22" s="23"/>
      <c r="H22" s="23"/>
      <c r="I22" s="23"/>
      <c r="J22" s="23">
        <f>J18*J20</f>
        <v>0.18194740794864253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223.987324577072</v>
      </c>
      <c r="C31" s="39">
        <f>IF(ISERROR(B31*3.6/1000000/'E Balans VL '!Z19*100),0,B31*3.6/1000000/'E Balans VL '!Z19*100)</f>
        <v>9.7544693124027148E-3</v>
      </c>
      <c r="D31" s="239" t="s">
        <v>692</v>
      </c>
    </row>
    <row r="32" spans="1:18">
      <c r="A32" s="173" t="s">
        <v>41</v>
      </c>
      <c r="B32" s="37">
        <f>IF( ISERROR(IND_voed_ele_kWh/1000),0,IND_voed_ele_kWh/1000)</f>
        <v>636.91015842267097</v>
      </c>
      <c r="C32" s="39">
        <f>IF(ISERROR(B32*3.6/1000000/'E Balans VL '!Z20*100),0,B32*3.6/1000000/'E Balans VL '!Z20*100)</f>
        <v>0.12084451731698224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197.24454795632801</v>
      </c>
      <c r="C37" s="39">
        <f>IF(ISERROR(B37*3.6/1000000/'E Balans VL '!Z15*100),0,B37*3.6/1000000/'E Balans VL '!Z15*100)</f>
        <v>1.5200115082463863E-3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255.0053385437912</v>
      </c>
      <c r="C5" s="17">
        <f>'Eigen informatie GS &amp; warmtenet'!B60</f>
        <v>0</v>
      </c>
      <c r="D5" s="30">
        <f>IF(ISERROR(SUM(LB_lb_gas_kWh,LB_rest_gas_kWh,onbekend_gas_kWh)/1000),0,SUM(LB_lb_gas_kWh,LB_rest_gas_kWh,onbekend_gas_kWh)/1000)*0.902</f>
        <v>1661.010445955623</v>
      </c>
      <c r="E5" s="17">
        <f>B17*'E Balans VL '!I25/3.6*1000000/100</f>
        <v>3.2133957793214019</v>
      </c>
      <c r="F5" s="17">
        <f>B17*('E Balans VL '!L25/3.6*1000000+'E Balans VL '!N25/3.6*1000000)/100</f>
        <v>879.83230063052997</v>
      </c>
      <c r="G5" s="18"/>
      <c r="H5" s="17"/>
      <c r="I5" s="17"/>
      <c r="J5" s="17">
        <f>('E Balans VL '!D25+'E Balans VL '!E25)/3.6*1000000*landbouw!B17/100</f>
        <v>38.349904118605743</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255.0053385437912</v>
      </c>
      <c r="C8" s="21">
        <f>C5+C6</f>
        <v>62.357142857142847</v>
      </c>
      <c r="D8" s="21">
        <f>MAX((D5+D6),0)</f>
        <v>1661.010445955623</v>
      </c>
      <c r="E8" s="21">
        <f>MAX((E5+E6),0)</f>
        <v>3.2133957793214019</v>
      </c>
      <c r="F8" s="21">
        <f>MAX((F5+F6),0)</f>
        <v>879.83230063052997</v>
      </c>
      <c r="G8" s="21"/>
      <c r="H8" s="21"/>
      <c r="I8" s="21"/>
      <c r="J8" s="21">
        <f>MAX((J5+J6),0)</f>
        <v>38.349904118605743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0.21200997930766813</v>
      </c>
      <c r="C10" s="31">
        <f ca="1">'EF ele_warmte'!B22</f>
        <v>0.11882352941176472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54.06367654801408</v>
      </c>
      <c r="C12" s="23">
        <f ca="1">C8*C10</f>
        <v>7.4094957983193268</v>
      </c>
      <c r="D12" s="23">
        <f>D8*D10</f>
        <v>335.52411008303585</v>
      </c>
      <c r="E12" s="23">
        <f>E8*E10</f>
        <v>0.72944084190595826</v>
      </c>
      <c r="F12" s="23">
        <f>F8*F10</f>
        <v>234.91522426835152</v>
      </c>
      <c r="G12" s="23"/>
      <c r="H12" s="23"/>
      <c r="I12" s="23"/>
      <c r="J12" s="23">
        <f>J8*J10</f>
        <v>13.575866057986433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3.5565207425123598E-2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86.676785979037462</v>
      </c>
      <c r="C26" s="249">
        <f>B26*'GWP N2O_CH4'!B5</f>
        <v>1820.2125055597867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19.173900194530045</v>
      </c>
      <c r="C27" s="249">
        <f>B27*'GWP N2O_CH4'!B5</f>
        <v>402.65190408513092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0.86442135751027038</v>
      </c>
      <c r="C28" s="249">
        <f>B28*'GWP N2O_CH4'!B4</f>
        <v>267.97062082818383</v>
      </c>
      <c r="D28" s="50"/>
    </row>
    <row r="29" spans="1:4">
      <c r="A29" s="41" t="s">
        <v>277</v>
      </c>
      <c r="B29" s="249">
        <f>B34*'ha_N2O bodem landbouw'!B4</f>
        <v>0.89945024750745173</v>
      </c>
      <c r="C29" s="249">
        <f>B29*'GWP N2O_CH4'!B4</f>
        <v>278.82957672731004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2.2458373924489296E-4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3.6846391980711689E-6</v>
      </c>
      <c r="C5" s="448" t="s">
        <v>211</v>
      </c>
      <c r="D5" s="433">
        <f>SUM(D6:D11)</f>
        <v>6.0435321499599249E-6</v>
      </c>
      <c r="E5" s="433">
        <f>SUM(E6:E11)</f>
        <v>1.8514337861347754E-4</v>
      </c>
      <c r="F5" s="446" t="s">
        <v>211</v>
      </c>
      <c r="G5" s="433">
        <f>SUM(G6:G11)</f>
        <v>3.6927690182702588E-2</v>
      </c>
      <c r="H5" s="433">
        <f>SUM(H6:H11)</f>
        <v>9.0426246003136364E-3</v>
      </c>
      <c r="I5" s="448" t="s">
        <v>211</v>
      </c>
      <c r="J5" s="448" t="s">
        <v>211</v>
      </c>
      <c r="K5" s="448" t="s">
        <v>211</v>
      </c>
      <c r="L5" s="448" t="s">
        <v>211</v>
      </c>
      <c r="M5" s="433">
        <f>SUM(M6:M11)</f>
        <v>2.0794220592027942E-3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2.9389068391039892E-6</v>
      </c>
      <c r="C6" s="949"/>
      <c r="D6" s="949">
        <f>vkm_2011_GW_PW*SUMIFS(TableVerdeelsleutelVkm[CNG],TableVerdeelsleutelVkm[Voertuigtype],"Lichte voertuigen")*SUMIFS(TableECFTransport[EnergieConsumptieFactor (PJ per km)],TableECFTransport[Index],CONCATENATE($A6,"_CNG_CNG"))</f>
        <v>4.1620668773766403E-6</v>
      </c>
      <c r="E6" s="949">
        <f>vkm_2011_GW_PW*SUMIFS(TableVerdeelsleutelVkm[LPG],TableVerdeelsleutelVkm[Voertuigtype],"Lichte voertuigen")*SUMIFS(TableECFTransport[EnergieConsumptieFactor (PJ per km)],TableECFTransport[Index],CONCATENATE($A6,"_LPG_LPG"))</f>
        <v>1.3071681873250734E-4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2.349339161929094E-2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6.2952433263731237E-3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1.3477330278118252E-3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4.1405394175070623E-3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1.4710907310515205E-6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1.868494400086682E-4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7.4573235896717978E-7</v>
      </c>
      <c r="C8" s="949"/>
      <c r="D8" s="436">
        <f>vkm_2011_NGW_PW*SUMIFS(TableVerdeelsleutelVkm[CNG],TableVerdeelsleutelVkm[Voertuigtype],"Lichte voertuigen")*SUMIFS(TableECFTransport[EnergieConsumptieFactor (PJ per km)],TableECFTransport[Index],CONCATENATE($A8,"_CNG_CNG"))</f>
        <v>1.8814652725832844E-6</v>
      </c>
      <c r="E8" s="436">
        <f>vkm_2011_NGW_PW*SUMIFS(TableVerdeelsleutelVkm[LPG],TableVerdeelsleutelVkm[Voertuigtype],"Lichte voertuigen")*SUMIFS(TableECFTransport[EnergieConsumptieFactor (PJ per km)],TableECFTransport[Index],CONCATENATE($A8,"_LPG_LPG"))</f>
        <v>5.4426559880970189E-5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9.2258296739903909E-3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2.7458873448199415E-3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5.4177420858465201E-4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6.7929471914194577E-5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2.2838389519602787E-8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3.0653827976492288E-6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1.0235108883531023</v>
      </c>
      <c r="C14" s="21"/>
      <c r="D14" s="21">
        <f t="shared" ref="D14:M14" si="0">((D5)*10^9/3600)+D12</f>
        <v>1.6787589305444235</v>
      </c>
      <c r="E14" s="21">
        <f t="shared" si="0"/>
        <v>51.428716281521538</v>
      </c>
      <c r="F14" s="21"/>
      <c r="G14" s="21">
        <f t="shared" si="0"/>
        <v>10257.691717417385</v>
      </c>
      <c r="H14" s="21">
        <f t="shared" si="0"/>
        <v>2511.8401667537878</v>
      </c>
      <c r="I14" s="21"/>
      <c r="J14" s="21"/>
      <c r="K14" s="21"/>
      <c r="L14" s="21"/>
      <c r="M14" s="21">
        <f t="shared" si="0"/>
        <v>577.61723866744285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0.21200997930766813</v>
      </c>
      <c r="C16" s="56">
        <f ca="1">'EF ele_warmte'!B22</f>
        <v>0.11882352941176472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0.21699452226091426</v>
      </c>
      <c r="C18" s="23"/>
      <c r="D18" s="23">
        <f t="shared" ref="D18:M18" si="1">D14*D16</f>
        <v>0.33910930396997357</v>
      </c>
      <c r="E18" s="23">
        <f t="shared" si="1"/>
        <v>11.67431859590539</v>
      </c>
      <c r="F18" s="23"/>
      <c r="G18" s="23">
        <f t="shared" si="1"/>
        <v>2738.8036885504421</v>
      </c>
      <c r="H18" s="23">
        <f t="shared" si="1"/>
        <v>625.44820152169314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3.3239961642818104E-3</v>
      </c>
      <c r="H50" s="323">
        <f t="shared" si="2"/>
        <v>0</v>
      </c>
      <c r="I50" s="323">
        <f t="shared" si="2"/>
        <v>0</v>
      </c>
      <c r="J50" s="323">
        <f t="shared" si="2"/>
        <v>0</v>
      </c>
      <c r="K50" s="323">
        <f t="shared" si="2"/>
        <v>0</v>
      </c>
      <c r="L50" s="323">
        <f t="shared" si="2"/>
        <v>0</v>
      </c>
      <c r="M50" s="323">
        <f t="shared" si="2"/>
        <v>1.4782623964227203E-4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3.3239961642818104E-3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1.4782623964227203E-4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923.33226785605848</v>
      </c>
      <c r="H54" s="21">
        <f t="shared" si="3"/>
        <v>0</v>
      </c>
      <c r="I54" s="21">
        <f t="shared" si="3"/>
        <v>0</v>
      </c>
      <c r="J54" s="21">
        <f t="shared" si="3"/>
        <v>0</v>
      </c>
      <c r="K54" s="21">
        <f t="shared" si="3"/>
        <v>0</v>
      </c>
      <c r="L54" s="21">
        <f t="shared" si="3"/>
        <v>0</v>
      </c>
      <c r="M54" s="21">
        <f t="shared" si="3"/>
        <v>41.062844345075568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0.21200997930766813</v>
      </c>
      <c r="C56" s="56">
        <f ca="1">'EF ele_warmte'!B22</f>
        <v>0.11882352941176472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246.52971551756764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948.04718170915442</v>
      </c>
      <c r="C6" s="1251"/>
      <c r="D6" s="1236"/>
      <c r="E6" s="1236"/>
      <c r="F6" s="1254"/>
      <c r="G6" s="1257"/>
      <c r="H6" s="1248"/>
      <c r="I6" s="1236"/>
      <c r="J6" s="1236"/>
      <c r="K6" s="1236"/>
      <c r="L6" s="1240"/>
      <c r="M6" s="561"/>
      <c r="N6" s="1214"/>
      <c r="O6" s="1215"/>
      <c r="Q6" s="559"/>
      <c r="R6" s="1202"/>
      <c r="S6" s="1202"/>
    </row>
    <row r="7" spans="1:19" s="549" customFormat="1">
      <c r="A7" s="562" t="s">
        <v>252</v>
      </c>
      <c r="B7" s="563">
        <f>N57</f>
        <v>87.299999999999983</v>
      </c>
      <c r="C7" s="564">
        <f>B100</f>
        <v>51.35294117647058</v>
      </c>
      <c r="D7" s="565"/>
      <c r="E7" s="565">
        <f>E100</f>
        <v>0</v>
      </c>
      <c r="F7" s="566"/>
      <c r="G7" s="567"/>
      <c r="H7" s="565">
        <f>I100</f>
        <v>0</v>
      </c>
      <c r="I7" s="565">
        <f>G100+F100</f>
        <v>0</v>
      </c>
      <c r="J7" s="565">
        <f>H100+D100+C100</f>
        <v>51.35294117647058</v>
      </c>
      <c r="K7" s="565"/>
      <c r="L7" s="568"/>
      <c r="M7" s="569">
        <f>C7*$C$11+D7*$D$11+E7*$E$11+F7*$F$11+G7*$G$11+H7*$H$11+I7*$I$11+J7*$J$11</f>
        <v>10.373294117647058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1035.3471817091545</v>
      </c>
      <c r="C9" s="580">
        <f t="shared" ref="C9:L9" si="0">SUM(C7:C8)</f>
        <v>51.35294117647058</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10.373294117647058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124.71428571428569</v>
      </c>
      <c r="C16" s="596">
        <f>B101</f>
        <v>73.361344537815114</v>
      </c>
      <c r="D16" s="597"/>
      <c r="E16" s="597">
        <f>E101</f>
        <v>0</v>
      </c>
      <c r="F16" s="598"/>
      <c r="G16" s="599"/>
      <c r="H16" s="596">
        <f>I101</f>
        <v>0</v>
      </c>
      <c r="I16" s="597">
        <f>G101+F101</f>
        <v>0</v>
      </c>
      <c r="J16" s="597">
        <f>H101+D101+C101</f>
        <v>73.361344537815114</v>
      </c>
      <c r="K16" s="597"/>
      <c r="L16" s="600"/>
      <c r="M16" s="601">
        <f>C16*$C$21+E16*$E$21+H16*$H$21+I16*$I$21+J16*$J$21+D16*$D$21+F16*$F$21+G16*$G$21+K16*$K$21+L16*$L$21</f>
        <v>14.818991596638654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124.71428571428569</v>
      </c>
      <c r="C19" s="579">
        <f>SUM(C16:C18)</f>
        <v>73.361344537815114</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14.818991596638654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11021</v>
      </c>
      <c r="C27" s="839">
        <v>2540</v>
      </c>
      <c r="D27" s="658" t="s">
        <v>878</v>
      </c>
      <c r="E27" s="657" t="s">
        <v>879</v>
      </c>
      <c r="F27" s="657" t="s">
        <v>880</v>
      </c>
      <c r="G27" s="657" t="s">
        <v>881</v>
      </c>
      <c r="H27" s="657" t="s">
        <v>882</v>
      </c>
      <c r="I27" s="657" t="s">
        <v>883</v>
      </c>
      <c r="J27" s="838">
        <v>40545</v>
      </c>
      <c r="K27" s="838">
        <v>40634</v>
      </c>
      <c r="L27" s="657" t="s">
        <v>884</v>
      </c>
      <c r="M27" s="657">
        <v>9.6999999999999993</v>
      </c>
      <c r="N27" s="657">
        <v>43.649999999999991</v>
      </c>
      <c r="O27" s="657">
        <v>62.357142857142847</v>
      </c>
      <c r="P27" s="657">
        <v>124.71428571428569</v>
      </c>
      <c r="Q27" s="657">
        <v>0</v>
      </c>
      <c r="R27" s="657">
        <v>0</v>
      </c>
      <c r="S27" s="657">
        <v>0</v>
      </c>
      <c r="T27" s="657">
        <v>0</v>
      </c>
      <c r="U27" s="657">
        <v>0</v>
      </c>
      <c r="V27" s="657">
        <v>0</v>
      </c>
      <c r="W27" s="657">
        <v>0</v>
      </c>
      <c r="X27" s="657">
        <v>1600</v>
      </c>
      <c r="Y27" s="657" t="s">
        <v>50</v>
      </c>
      <c r="Z27" s="659" t="s">
        <v>156</v>
      </c>
    </row>
    <row r="28" spans="1:26" s="611" customFormat="1" ht="25.5">
      <c r="A28" s="610"/>
      <c r="B28" s="839">
        <v>11021</v>
      </c>
      <c r="C28" s="839">
        <v>2540</v>
      </c>
      <c r="D28" s="658" t="s">
        <v>878</v>
      </c>
      <c r="E28" s="657" t="s">
        <v>879</v>
      </c>
      <c r="F28" s="657" t="s">
        <v>885</v>
      </c>
      <c r="G28" s="657" t="s">
        <v>881</v>
      </c>
      <c r="H28" s="657" t="s">
        <v>882</v>
      </c>
      <c r="I28" s="657" t="s">
        <v>886</v>
      </c>
      <c r="J28" s="838">
        <v>41071</v>
      </c>
      <c r="K28" s="838">
        <v>41214</v>
      </c>
      <c r="L28" s="657" t="s">
        <v>884</v>
      </c>
      <c r="M28" s="657">
        <v>9.6999999999999993</v>
      </c>
      <c r="N28" s="657">
        <v>43.649999999999991</v>
      </c>
      <c r="O28" s="657">
        <v>62.357142857142847</v>
      </c>
      <c r="P28" s="657">
        <v>0</v>
      </c>
      <c r="Q28" s="657">
        <v>124.71428571428569</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19.399999999999999</v>
      </c>
      <c r="N57" s="615">
        <f>SUM(N27:N56)</f>
        <v>87.299999999999983</v>
      </c>
      <c r="O57" s="615">
        <f t="shared" ref="O57:W57" si="2">SUM(O27:O56)</f>
        <v>124.71428571428569</v>
      </c>
      <c r="P57" s="615">
        <f t="shared" si="2"/>
        <v>124.71428571428569</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9.6999999999999993</v>
      </c>
      <c r="N59" s="615">
        <f ca="1">SUMIF($Z$27:AB56,"tertiair",N27:N56)</f>
        <v>43.649999999999991</v>
      </c>
      <c r="O59" s="615">
        <f ca="1">SUMIF($Z$27:AC56,"tertiair",O27:O56)</f>
        <v>62.357142857142847</v>
      </c>
      <c r="P59" s="615">
        <f ca="1">SUMIF($Z$27:AD56,"tertiair",P27:P56)</f>
        <v>124.71428571428569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51.35294117647058</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73.361344537815114</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8149.4390380323921</v>
      </c>
      <c r="D10" s="704">
        <f ca="1">tertiair!C16</f>
        <v>62.357142857142847</v>
      </c>
      <c r="E10" s="704">
        <f ca="1">tertiair!D16</f>
        <v>11960.621890767623</v>
      </c>
      <c r="F10" s="704">
        <f>tertiair!E16</f>
        <v>80.362861753653661</v>
      </c>
      <c r="G10" s="704">
        <f ca="1">tertiair!F16</f>
        <v>1354.9050690542413</v>
      </c>
      <c r="H10" s="704">
        <f>tertiair!G16</f>
        <v>0</v>
      </c>
      <c r="I10" s="704">
        <f>tertiair!H16</f>
        <v>0</v>
      </c>
      <c r="J10" s="704">
        <f>tertiair!I16</f>
        <v>0</v>
      </c>
      <c r="K10" s="704">
        <f>tertiair!J16</f>
        <v>0</v>
      </c>
      <c r="L10" s="704">
        <f>tertiair!K16</f>
        <v>0</v>
      </c>
      <c r="M10" s="704">
        <f ca="1">tertiair!L16</f>
        <v>0</v>
      </c>
      <c r="N10" s="704">
        <f>tertiair!M16</f>
        <v>0</v>
      </c>
      <c r="O10" s="704">
        <f ca="1">tertiair!N16</f>
        <v>354.45828554308861</v>
      </c>
      <c r="P10" s="704">
        <f>tertiair!O16</f>
        <v>1.5633333333333335</v>
      </c>
      <c r="Q10" s="705">
        <f>tertiair!P16</f>
        <v>0</v>
      </c>
      <c r="R10" s="707">
        <f ca="1">SUM(C10:Q10)</f>
        <v>21963.707621341473</v>
      </c>
      <c r="S10" s="67"/>
    </row>
    <row r="11" spans="1:19" s="459" customFormat="1">
      <c r="A11" s="858" t="s">
        <v>225</v>
      </c>
      <c r="B11" s="863"/>
      <c r="C11" s="704">
        <f>huishoudens!B8</f>
        <v>14834.268864705655</v>
      </c>
      <c r="D11" s="704">
        <f>huishoudens!C8</f>
        <v>0</v>
      </c>
      <c r="E11" s="704">
        <f>huishoudens!D8</f>
        <v>53849.488455786632</v>
      </c>
      <c r="F11" s="704">
        <f>huishoudens!E8</f>
        <v>162.98183717405456</v>
      </c>
      <c r="G11" s="704">
        <f>huishoudens!F8</f>
        <v>2801.786227796018</v>
      </c>
      <c r="H11" s="704">
        <f>huishoudens!G8</f>
        <v>0</v>
      </c>
      <c r="I11" s="704">
        <f>huishoudens!H8</f>
        <v>0</v>
      </c>
      <c r="J11" s="704">
        <f>huishoudens!I8</f>
        <v>0</v>
      </c>
      <c r="K11" s="704">
        <f>huishoudens!J8</f>
        <v>0</v>
      </c>
      <c r="L11" s="704">
        <f>huishoudens!K8</f>
        <v>0</v>
      </c>
      <c r="M11" s="704">
        <f>huishoudens!L8</f>
        <v>0</v>
      </c>
      <c r="N11" s="704">
        <f>huishoudens!M8</f>
        <v>0</v>
      </c>
      <c r="O11" s="704">
        <f>huishoudens!N8</f>
        <v>1833.0212120856258</v>
      </c>
      <c r="P11" s="704">
        <f>huishoudens!O8</f>
        <v>76.603333333333339</v>
      </c>
      <c r="Q11" s="705">
        <f>huishoudens!P8</f>
        <v>114.4</v>
      </c>
      <c r="R11" s="707">
        <f>SUM(C11:Q11)</f>
        <v>73672.549930881316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1058.142030956071</v>
      </c>
      <c r="D13" s="704">
        <f>industrie!C18</f>
        <v>0</v>
      </c>
      <c r="E13" s="704">
        <f>industrie!D18</f>
        <v>1588.945677266674</v>
      </c>
      <c r="F13" s="704">
        <f>industrie!E18</f>
        <v>123.5796287669053</v>
      </c>
      <c r="G13" s="704">
        <f>industrie!F18</f>
        <v>1145.2582667122174</v>
      </c>
      <c r="H13" s="704">
        <f>industrie!G18</f>
        <v>0</v>
      </c>
      <c r="I13" s="704">
        <f>industrie!H18</f>
        <v>0</v>
      </c>
      <c r="J13" s="704">
        <f>industrie!I18</f>
        <v>0</v>
      </c>
      <c r="K13" s="704">
        <f>industrie!J18</f>
        <v>0.51397572866848174</v>
      </c>
      <c r="L13" s="704">
        <f>industrie!K18</f>
        <v>0</v>
      </c>
      <c r="M13" s="704">
        <f>industrie!L18</f>
        <v>0</v>
      </c>
      <c r="N13" s="704">
        <f>industrie!M18</f>
        <v>0</v>
      </c>
      <c r="O13" s="704">
        <f>industrie!N18</f>
        <v>298.9397304862502</v>
      </c>
      <c r="P13" s="704">
        <f>industrie!O18</f>
        <v>0</v>
      </c>
      <c r="Q13" s="705">
        <f>industrie!P18</f>
        <v>0</v>
      </c>
      <c r="R13" s="707">
        <f>SUM(C13:Q13)</f>
        <v>4215.379309916787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24041.849933694117</v>
      </c>
      <c r="D15" s="709">
        <f t="shared" ref="D15:Q15" ca="1" si="0">SUM(D9:D14)</f>
        <v>62.357142857142847</v>
      </c>
      <c r="E15" s="709">
        <f t="shared" ca="1" si="0"/>
        <v>67399.056023820929</v>
      </c>
      <c r="F15" s="709">
        <f t="shared" si="0"/>
        <v>366.92432769461357</v>
      </c>
      <c r="G15" s="709">
        <f t="shared" ca="1" si="0"/>
        <v>5301.9495635624771</v>
      </c>
      <c r="H15" s="709">
        <f t="shared" si="0"/>
        <v>0</v>
      </c>
      <c r="I15" s="709">
        <f t="shared" si="0"/>
        <v>0</v>
      </c>
      <c r="J15" s="709">
        <f t="shared" si="0"/>
        <v>0</v>
      </c>
      <c r="K15" s="709">
        <f t="shared" si="0"/>
        <v>0.51397572866848174</v>
      </c>
      <c r="L15" s="709">
        <f t="shared" si="0"/>
        <v>0</v>
      </c>
      <c r="M15" s="709">
        <f t="shared" ca="1" si="0"/>
        <v>0</v>
      </c>
      <c r="N15" s="709">
        <f t="shared" si="0"/>
        <v>0</v>
      </c>
      <c r="O15" s="709">
        <f t="shared" ca="1" si="0"/>
        <v>2486.4192281149644</v>
      </c>
      <c r="P15" s="709">
        <f t="shared" si="0"/>
        <v>78.166666666666671</v>
      </c>
      <c r="Q15" s="710">
        <f t="shared" si="0"/>
        <v>114.4</v>
      </c>
      <c r="R15" s="711">
        <f ca="1">SUM(R9:R14)</f>
        <v>99851.636862139567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923.33226785605848</v>
      </c>
      <c r="I18" s="704">
        <f>transport!H54</f>
        <v>0</v>
      </c>
      <c r="J18" s="704">
        <f>transport!I54</f>
        <v>0</v>
      </c>
      <c r="K18" s="704">
        <f>transport!J54</f>
        <v>0</v>
      </c>
      <c r="L18" s="704">
        <f>transport!K54</f>
        <v>0</v>
      </c>
      <c r="M18" s="704">
        <f>transport!L54</f>
        <v>0</v>
      </c>
      <c r="N18" s="704">
        <f>transport!M54</f>
        <v>41.062844345075568</v>
      </c>
      <c r="O18" s="704">
        <f>transport!N54</f>
        <v>0</v>
      </c>
      <c r="P18" s="704">
        <f>transport!O54</f>
        <v>0</v>
      </c>
      <c r="Q18" s="705">
        <f>transport!P54</f>
        <v>0</v>
      </c>
      <c r="R18" s="707">
        <f>SUM(C18:Q18)</f>
        <v>964.395112201134</v>
      </c>
      <c r="S18" s="67"/>
    </row>
    <row r="19" spans="1:19" s="459" customFormat="1" ht="15" thickBot="1">
      <c r="A19" s="858" t="s">
        <v>307</v>
      </c>
      <c r="B19" s="863"/>
      <c r="C19" s="713">
        <f>transport!B14</f>
        <v>1.0235108883531023</v>
      </c>
      <c r="D19" s="713">
        <f>transport!C14</f>
        <v>0</v>
      </c>
      <c r="E19" s="713">
        <f>transport!D14</f>
        <v>1.6787589305444235</v>
      </c>
      <c r="F19" s="713">
        <f>transport!E14</f>
        <v>51.428716281521538</v>
      </c>
      <c r="G19" s="713">
        <f>transport!F14</f>
        <v>0</v>
      </c>
      <c r="H19" s="713">
        <f>transport!G14</f>
        <v>10257.691717417385</v>
      </c>
      <c r="I19" s="713">
        <f>transport!H14</f>
        <v>2511.8401667537878</v>
      </c>
      <c r="J19" s="713">
        <f>transport!I14</f>
        <v>0</v>
      </c>
      <c r="K19" s="713">
        <f>transport!J14</f>
        <v>0</v>
      </c>
      <c r="L19" s="713">
        <f>transport!K14</f>
        <v>0</v>
      </c>
      <c r="M19" s="713">
        <f>transport!L14</f>
        <v>0</v>
      </c>
      <c r="N19" s="713">
        <f>transport!M14</f>
        <v>577.61723866744285</v>
      </c>
      <c r="O19" s="713">
        <f>transport!N14</f>
        <v>0</v>
      </c>
      <c r="P19" s="713">
        <f>transport!O14</f>
        <v>0</v>
      </c>
      <c r="Q19" s="714">
        <f>transport!P14</f>
        <v>0</v>
      </c>
      <c r="R19" s="715">
        <f>SUM(C19:Q19)</f>
        <v>13401.280108939034</v>
      </c>
      <c r="S19" s="67"/>
    </row>
    <row r="20" spans="1:19" s="459" customFormat="1" ht="15.75" thickBot="1">
      <c r="A20" s="716" t="s">
        <v>230</v>
      </c>
      <c r="B20" s="866"/>
      <c r="C20" s="861">
        <f>SUM(C17:C19)</f>
        <v>1.0235108883531023</v>
      </c>
      <c r="D20" s="717">
        <f t="shared" ref="D20:R20" si="1">SUM(D17:D19)</f>
        <v>0</v>
      </c>
      <c r="E20" s="717">
        <f t="shared" si="1"/>
        <v>1.6787589305444235</v>
      </c>
      <c r="F20" s="717">
        <f t="shared" si="1"/>
        <v>51.428716281521538</v>
      </c>
      <c r="G20" s="717">
        <f t="shared" si="1"/>
        <v>0</v>
      </c>
      <c r="H20" s="717">
        <f t="shared" si="1"/>
        <v>11181.023985273443</v>
      </c>
      <c r="I20" s="717">
        <f t="shared" si="1"/>
        <v>2511.8401667537878</v>
      </c>
      <c r="J20" s="717">
        <f t="shared" si="1"/>
        <v>0</v>
      </c>
      <c r="K20" s="717">
        <f t="shared" si="1"/>
        <v>0</v>
      </c>
      <c r="L20" s="717">
        <f t="shared" si="1"/>
        <v>0</v>
      </c>
      <c r="M20" s="717">
        <f t="shared" si="1"/>
        <v>0</v>
      </c>
      <c r="N20" s="717">
        <f t="shared" si="1"/>
        <v>618.68008301251837</v>
      </c>
      <c r="O20" s="717">
        <f t="shared" si="1"/>
        <v>0</v>
      </c>
      <c r="P20" s="717">
        <f t="shared" si="1"/>
        <v>0</v>
      </c>
      <c r="Q20" s="718">
        <f t="shared" si="1"/>
        <v>0</v>
      </c>
      <c r="R20" s="719">
        <f t="shared" si="1"/>
        <v>14365.675221140169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255.0053385437912</v>
      </c>
      <c r="D22" s="713">
        <f>+landbouw!C8</f>
        <v>62.357142857142847</v>
      </c>
      <c r="E22" s="713">
        <f>+landbouw!D8</f>
        <v>1661.010445955623</v>
      </c>
      <c r="F22" s="713">
        <f>+landbouw!E8</f>
        <v>3.2133957793214019</v>
      </c>
      <c r="G22" s="713">
        <f>+landbouw!F8</f>
        <v>879.83230063052997</v>
      </c>
      <c r="H22" s="713">
        <f>+landbouw!G8</f>
        <v>0</v>
      </c>
      <c r="I22" s="713">
        <f>+landbouw!H8</f>
        <v>0</v>
      </c>
      <c r="J22" s="713">
        <f>+landbouw!I8</f>
        <v>0</v>
      </c>
      <c r="K22" s="713">
        <f>+landbouw!J8</f>
        <v>38.349904118605743</v>
      </c>
      <c r="L22" s="713">
        <f>+landbouw!K8</f>
        <v>0</v>
      </c>
      <c r="M22" s="713">
        <f>+landbouw!L8</f>
        <v>0</v>
      </c>
      <c r="N22" s="713">
        <f>+landbouw!M8</f>
        <v>0</v>
      </c>
      <c r="O22" s="713">
        <f>+landbouw!N8</f>
        <v>0</v>
      </c>
      <c r="P22" s="713">
        <f>+landbouw!O8</f>
        <v>0</v>
      </c>
      <c r="Q22" s="714">
        <f>+landbouw!P8</f>
        <v>0</v>
      </c>
      <c r="R22" s="715">
        <f>SUM(C22:Q22)</f>
        <v>2899.768527885014</v>
      </c>
      <c r="S22" s="67"/>
    </row>
    <row r="23" spans="1:19" s="459" customFormat="1" ht="17.25" thickTop="1" thickBot="1">
      <c r="A23" s="720" t="s">
        <v>116</v>
      </c>
      <c r="B23" s="852"/>
      <c r="C23" s="721">
        <f ca="1">C20+C15+C22</f>
        <v>24297.87878312626</v>
      </c>
      <c r="D23" s="721">
        <f t="shared" ref="D23:Q23" ca="1" si="2">D20+D15+D22</f>
        <v>124.71428571428569</v>
      </c>
      <c r="E23" s="721">
        <f t="shared" ca="1" si="2"/>
        <v>69061.745228707092</v>
      </c>
      <c r="F23" s="721">
        <f t="shared" si="2"/>
        <v>421.56643975545649</v>
      </c>
      <c r="G23" s="721">
        <f t="shared" ca="1" si="2"/>
        <v>6181.7818641930071</v>
      </c>
      <c r="H23" s="721">
        <f t="shared" si="2"/>
        <v>11181.023985273443</v>
      </c>
      <c r="I23" s="721">
        <f t="shared" si="2"/>
        <v>2511.8401667537878</v>
      </c>
      <c r="J23" s="721">
        <f t="shared" si="2"/>
        <v>0</v>
      </c>
      <c r="K23" s="721">
        <f t="shared" si="2"/>
        <v>38.863879847274227</v>
      </c>
      <c r="L23" s="721">
        <f t="shared" si="2"/>
        <v>0</v>
      </c>
      <c r="M23" s="721">
        <f t="shared" ca="1" si="2"/>
        <v>0</v>
      </c>
      <c r="N23" s="721">
        <f t="shared" si="2"/>
        <v>618.68008301251837</v>
      </c>
      <c r="O23" s="721">
        <f t="shared" ca="1" si="2"/>
        <v>2486.4192281149644</v>
      </c>
      <c r="P23" s="721">
        <f t="shared" si="2"/>
        <v>78.166666666666671</v>
      </c>
      <c r="Q23" s="722">
        <f t="shared" si="2"/>
        <v>114.4</v>
      </c>
      <c r="R23" s="723">
        <f ca="1">R20+R15+R22</f>
        <v>117117.08061116475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1727.7624018223501</v>
      </c>
      <c r="D36" s="704">
        <f ca="1">tertiair!C20</f>
        <v>7.4094957983193268</v>
      </c>
      <c r="E36" s="704">
        <f ca="1">tertiair!D20</f>
        <v>2416.0456219350599</v>
      </c>
      <c r="F36" s="704">
        <f>tertiair!E20</f>
        <v>18.242369618079383</v>
      </c>
      <c r="G36" s="704">
        <f ca="1">tertiair!F20</f>
        <v>361.75965343748243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4531.2195426112912</v>
      </c>
    </row>
    <row r="37" spans="1:18">
      <c r="A37" s="873" t="s">
        <v>225</v>
      </c>
      <c r="B37" s="880"/>
      <c r="C37" s="704">
        <f ca="1">huishoudens!B12</f>
        <v>3145.0130350506315</v>
      </c>
      <c r="D37" s="704">
        <f ca="1">huishoudens!C12</f>
        <v>0</v>
      </c>
      <c r="E37" s="704">
        <f>huishoudens!D12</f>
        <v>10877.5966680689</v>
      </c>
      <c r="F37" s="704">
        <f>huishoudens!E12</f>
        <v>36.996877038510384</v>
      </c>
      <c r="G37" s="704">
        <f>huishoudens!F12</f>
        <v>748.07692282153687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14807.68350297958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224.33667008757055</v>
      </c>
      <c r="D39" s="704">
        <f ca="1">industrie!C22</f>
        <v>0</v>
      </c>
      <c r="E39" s="704">
        <f>industrie!D22</f>
        <v>320.96702680786819</v>
      </c>
      <c r="F39" s="704">
        <f>industrie!E22</f>
        <v>28.052575730087504</v>
      </c>
      <c r="G39" s="704">
        <f>industrie!F22</f>
        <v>305.78395721216208</v>
      </c>
      <c r="H39" s="704">
        <f>industrie!G22</f>
        <v>0</v>
      </c>
      <c r="I39" s="704">
        <f>industrie!H22</f>
        <v>0</v>
      </c>
      <c r="J39" s="704">
        <f>industrie!I22</f>
        <v>0</v>
      </c>
      <c r="K39" s="704">
        <f>industrie!J22</f>
        <v>0.18194740794864253</v>
      </c>
      <c r="L39" s="704">
        <f>industrie!K22</f>
        <v>0</v>
      </c>
      <c r="M39" s="704">
        <f>industrie!L22</f>
        <v>0</v>
      </c>
      <c r="N39" s="704">
        <f>industrie!M22</f>
        <v>0</v>
      </c>
      <c r="O39" s="704">
        <f>industrie!N22</f>
        <v>0</v>
      </c>
      <c r="P39" s="704">
        <f>industrie!O22</f>
        <v>0</v>
      </c>
      <c r="Q39" s="814">
        <f>industrie!P22</f>
        <v>0</v>
      </c>
      <c r="R39" s="906">
        <f ca="1">SUM(C39:Q39)</f>
        <v>879.32217724563702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5097.1121069605524</v>
      </c>
      <c r="D41" s="749">
        <f t="shared" ref="D41:R41" ca="1" si="4">SUM(D35:D40)</f>
        <v>7.4094957983193268</v>
      </c>
      <c r="E41" s="749">
        <f t="shared" ca="1" si="4"/>
        <v>13614.609316811828</v>
      </c>
      <c r="F41" s="749">
        <f t="shared" si="4"/>
        <v>83.291822386677268</v>
      </c>
      <c r="G41" s="749">
        <f t="shared" ca="1" si="4"/>
        <v>1415.6205334711813</v>
      </c>
      <c r="H41" s="749">
        <f t="shared" si="4"/>
        <v>0</v>
      </c>
      <c r="I41" s="749">
        <f t="shared" si="4"/>
        <v>0</v>
      </c>
      <c r="J41" s="749">
        <f t="shared" si="4"/>
        <v>0</v>
      </c>
      <c r="K41" s="749">
        <f t="shared" si="4"/>
        <v>0.18194740794864253</v>
      </c>
      <c r="L41" s="749">
        <f t="shared" si="4"/>
        <v>0</v>
      </c>
      <c r="M41" s="749">
        <f t="shared" ca="1" si="4"/>
        <v>0</v>
      </c>
      <c r="N41" s="749">
        <f t="shared" si="4"/>
        <v>0</v>
      </c>
      <c r="O41" s="749">
        <f t="shared" ca="1" si="4"/>
        <v>0</v>
      </c>
      <c r="P41" s="749">
        <f t="shared" si="4"/>
        <v>0</v>
      </c>
      <c r="Q41" s="750">
        <f t="shared" si="4"/>
        <v>0</v>
      </c>
      <c r="R41" s="751">
        <f t="shared" ca="1" si="4"/>
        <v>20218.225222836511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246.52971551756764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246.52971551756764</v>
      </c>
    </row>
    <row r="45" spans="1:18" ht="15" thickBot="1">
      <c r="A45" s="876" t="s">
        <v>307</v>
      </c>
      <c r="B45" s="886"/>
      <c r="C45" s="713">
        <f ca="1">transport!B18</f>
        <v>0.21699452226091426</v>
      </c>
      <c r="D45" s="713">
        <f>transport!C18</f>
        <v>0</v>
      </c>
      <c r="E45" s="713">
        <f>transport!D18</f>
        <v>0.33910930396997357</v>
      </c>
      <c r="F45" s="713">
        <f>transport!E18</f>
        <v>11.67431859590539</v>
      </c>
      <c r="G45" s="713">
        <f>transport!F18</f>
        <v>0</v>
      </c>
      <c r="H45" s="713">
        <f>transport!G18</f>
        <v>2738.8036885504421</v>
      </c>
      <c r="I45" s="713">
        <f>transport!H18</f>
        <v>625.44820152169314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3376.4823124942714</v>
      </c>
    </row>
    <row r="46" spans="1:18" ht="15.75" thickBot="1">
      <c r="A46" s="874" t="s">
        <v>230</v>
      </c>
      <c r="B46" s="887"/>
      <c r="C46" s="749">
        <f t="shared" ref="C46:R46" ca="1" si="5">SUM(C43:C45)</f>
        <v>0.21699452226091426</v>
      </c>
      <c r="D46" s="749">
        <f t="shared" ca="1" si="5"/>
        <v>0</v>
      </c>
      <c r="E46" s="749">
        <f t="shared" si="5"/>
        <v>0.33910930396997357</v>
      </c>
      <c r="F46" s="749">
        <f t="shared" si="5"/>
        <v>11.67431859590539</v>
      </c>
      <c r="G46" s="749">
        <f t="shared" si="5"/>
        <v>0</v>
      </c>
      <c r="H46" s="749">
        <f t="shared" si="5"/>
        <v>2985.3334040680097</v>
      </c>
      <c r="I46" s="749">
        <f t="shared" si="5"/>
        <v>625.44820152169314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3623.012028011839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54.06367654801408</v>
      </c>
      <c r="D48" s="704">
        <f ca="1">+landbouw!C12</f>
        <v>7.4094957983193268</v>
      </c>
      <c r="E48" s="704">
        <f>+landbouw!D12</f>
        <v>335.52411008303585</v>
      </c>
      <c r="F48" s="704">
        <f>+landbouw!E12</f>
        <v>0.72944084190595826</v>
      </c>
      <c r="G48" s="704">
        <f>+landbouw!F12</f>
        <v>234.91522426835152</v>
      </c>
      <c r="H48" s="704">
        <f>+landbouw!G12</f>
        <v>0</v>
      </c>
      <c r="I48" s="704">
        <f>+landbouw!H12</f>
        <v>0</v>
      </c>
      <c r="J48" s="704">
        <f>+landbouw!I12</f>
        <v>0</v>
      </c>
      <c r="K48" s="704">
        <f>+landbouw!J12</f>
        <v>13.575866057986433</v>
      </c>
      <c r="L48" s="704">
        <f>+landbouw!K12</f>
        <v>0</v>
      </c>
      <c r="M48" s="704">
        <f>+landbouw!L12</f>
        <v>0</v>
      </c>
      <c r="N48" s="704">
        <f>+landbouw!M12</f>
        <v>0</v>
      </c>
      <c r="O48" s="704">
        <f>+landbouw!N12</f>
        <v>0</v>
      </c>
      <c r="P48" s="704">
        <f>+landbouw!O12</f>
        <v>0</v>
      </c>
      <c r="Q48" s="705">
        <f>+landbouw!P12</f>
        <v>0</v>
      </c>
      <c r="R48" s="747">
        <f ca="1">SUM(C48:Q48)</f>
        <v>646.21781359761314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5151.3927780308277</v>
      </c>
      <c r="D53" s="759">
        <f t="shared" ref="D53:Q53" ca="1" si="6">D41+D46+D48</f>
        <v>14.818991596638654</v>
      </c>
      <c r="E53" s="759">
        <f t="shared" ca="1" si="6"/>
        <v>13950.472536198833</v>
      </c>
      <c r="F53" s="759">
        <f t="shared" si="6"/>
        <v>95.695581824488613</v>
      </c>
      <c r="G53" s="759">
        <f t="shared" ca="1" si="6"/>
        <v>1650.5357577395328</v>
      </c>
      <c r="H53" s="759">
        <f t="shared" si="6"/>
        <v>2985.3334040680097</v>
      </c>
      <c r="I53" s="759">
        <f t="shared" si="6"/>
        <v>625.44820152169314</v>
      </c>
      <c r="J53" s="759">
        <f t="shared" si="6"/>
        <v>0</v>
      </c>
      <c r="K53" s="759">
        <f t="shared" si="6"/>
        <v>13.757813465935076</v>
      </c>
      <c r="L53" s="759">
        <f t="shared" si="6"/>
        <v>0</v>
      </c>
      <c r="M53" s="759">
        <f t="shared" ca="1" si="6"/>
        <v>0</v>
      </c>
      <c r="N53" s="759">
        <f t="shared" si="6"/>
        <v>0</v>
      </c>
      <c r="O53" s="759">
        <f t="shared" ca="1" si="6"/>
        <v>0</v>
      </c>
      <c r="P53" s="759">
        <f>P41+P46+P48</f>
        <v>0</v>
      </c>
      <c r="Q53" s="760">
        <f t="shared" si="6"/>
        <v>0</v>
      </c>
      <c r="R53" s="761">
        <f ca="1">R41+R46+R48</f>
        <v>24487.455064445963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0.21200997930766816</v>
      </c>
      <c r="D55" s="824">
        <f t="shared" ca="1" si="7"/>
        <v>0.11882352941176472</v>
      </c>
      <c r="E55" s="824">
        <f t="shared" ca="1" si="7"/>
        <v>0.20200000000000001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948.04718170915442</v>
      </c>
      <c r="C66" s="781">
        <f>'lokale energieproductie'!B6</f>
        <v>948.04718170915442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87.299999999999983</v>
      </c>
      <c r="C67" s="780">
        <f>B67*IFERROR(SUM(J67:L67)/SUM(D67:M67),0)</f>
        <v>43.649999999999991</v>
      </c>
      <c r="D67" s="812">
        <f>'lokale energieproductie'!C7</f>
        <v>51.35294117647058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10.373294117647058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1035.3471817091545</v>
      </c>
      <c r="C69" s="789">
        <f>SUM(C64:C68)</f>
        <v>991.69718170915439</v>
      </c>
      <c r="D69" s="790">
        <f t="shared" ref="D69:M69" si="8">SUM(D67:D68)</f>
        <v>51.35294117647058</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10.373294117647058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124.71428571428569</v>
      </c>
      <c r="C78" s="803">
        <f>B78*IFERROR(SUM(I78:L78)/SUM(D78:M78),0)</f>
        <v>62.357142857142847</v>
      </c>
      <c r="D78" s="818">
        <f>'lokale energieproductie'!C16</f>
        <v>73.361344537815114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14.818991596638654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124.71428571428569</v>
      </c>
      <c r="C81" s="789">
        <f>SUM(C78:C80)</f>
        <v>62.357142857142847</v>
      </c>
      <c r="D81" s="789">
        <f t="shared" ref="D81:P81" si="9">SUM(D78:D80)</f>
        <v>73.361344537815114</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14.818991596638654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14834.268864705655</v>
      </c>
      <c r="C4" s="463">
        <f>huishoudens!C8</f>
        <v>0</v>
      </c>
      <c r="D4" s="463">
        <f>huishoudens!D8</f>
        <v>53849.488455786632</v>
      </c>
      <c r="E4" s="463">
        <f>huishoudens!E8</f>
        <v>162.98183717405456</v>
      </c>
      <c r="F4" s="463">
        <f>huishoudens!F8</f>
        <v>2801.786227796018</v>
      </c>
      <c r="G4" s="463">
        <f>huishoudens!G8</f>
        <v>0</v>
      </c>
      <c r="H4" s="463">
        <f>huishoudens!H8</f>
        <v>0</v>
      </c>
      <c r="I4" s="463">
        <f>huishoudens!I8</f>
        <v>0</v>
      </c>
      <c r="J4" s="463">
        <f>huishoudens!J8</f>
        <v>0</v>
      </c>
      <c r="K4" s="463">
        <f>huishoudens!K8</f>
        <v>0</v>
      </c>
      <c r="L4" s="463">
        <f>huishoudens!L8</f>
        <v>0</v>
      </c>
      <c r="M4" s="463">
        <f>huishoudens!M8</f>
        <v>0</v>
      </c>
      <c r="N4" s="463">
        <f>huishoudens!N8</f>
        <v>1833.0212120856258</v>
      </c>
      <c r="O4" s="463">
        <f>huishoudens!O8</f>
        <v>76.603333333333339</v>
      </c>
      <c r="P4" s="464">
        <f>huishoudens!P8</f>
        <v>114.4</v>
      </c>
      <c r="Q4" s="465">
        <f>SUM(B4:P4)</f>
        <v>73672.549930881316</v>
      </c>
    </row>
    <row r="5" spans="1:17">
      <c r="A5" s="462" t="s">
        <v>156</v>
      </c>
      <c r="B5" s="463">
        <f ca="1">tertiair!B16</f>
        <v>7460.9550380323917</v>
      </c>
      <c r="C5" s="463">
        <f ca="1">tertiair!C16</f>
        <v>62.357142857142847</v>
      </c>
      <c r="D5" s="463">
        <f ca="1">tertiair!D16</f>
        <v>11960.621890767623</v>
      </c>
      <c r="E5" s="463">
        <f>tertiair!E16</f>
        <v>80.362861753653661</v>
      </c>
      <c r="F5" s="463">
        <f ca="1">tertiair!F16</f>
        <v>1354.9050690542413</v>
      </c>
      <c r="G5" s="463">
        <f>tertiair!G16</f>
        <v>0</v>
      </c>
      <c r="H5" s="463">
        <f>tertiair!H16</f>
        <v>0</v>
      </c>
      <c r="I5" s="463">
        <f>tertiair!I16</f>
        <v>0</v>
      </c>
      <c r="J5" s="463">
        <f>tertiair!J16</f>
        <v>0</v>
      </c>
      <c r="K5" s="463">
        <f>tertiair!K16</f>
        <v>0</v>
      </c>
      <c r="L5" s="463">
        <f ca="1">tertiair!L16</f>
        <v>0</v>
      </c>
      <c r="M5" s="463">
        <f>tertiair!M16</f>
        <v>0</v>
      </c>
      <c r="N5" s="463">
        <f ca="1">tertiair!N16</f>
        <v>354.45828554308861</v>
      </c>
      <c r="O5" s="463">
        <f>tertiair!O16</f>
        <v>1.5633333333333335</v>
      </c>
      <c r="P5" s="464">
        <f>tertiair!P16</f>
        <v>0</v>
      </c>
      <c r="Q5" s="462">
        <f t="shared" ref="Q5:Q13" ca="1" si="0">SUM(B5:P5)</f>
        <v>21275.223621341473</v>
      </c>
    </row>
    <row r="6" spans="1:17">
      <c r="A6" s="462" t="s">
        <v>194</v>
      </c>
      <c r="B6" s="463">
        <f>'openbare verlichting'!B8</f>
        <v>688.48400000000004</v>
      </c>
      <c r="C6" s="463"/>
      <c r="D6" s="463"/>
      <c r="E6" s="463"/>
      <c r="F6" s="463"/>
      <c r="G6" s="463"/>
      <c r="H6" s="463"/>
      <c r="I6" s="463"/>
      <c r="J6" s="463"/>
      <c r="K6" s="463"/>
      <c r="L6" s="463"/>
      <c r="M6" s="463"/>
      <c r="N6" s="463"/>
      <c r="O6" s="463"/>
      <c r="P6" s="464"/>
      <c r="Q6" s="462">
        <f t="shared" si="0"/>
        <v>688.48400000000004</v>
      </c>
    </row>
    <row r="7" spans="1:17">
      <c r="A7" s="462" t="s">
        <v>112</v>
      </c>
      <c r="B7" s="463">
        <f>landbouw!B8</f>
        <v>255.0053385437912</v>
      </c>
      <c r="C7" s="463">
        <f>landbouw!C8</f>
        <v>62.357142857142847</v>
      </c>
      <c r="D7" s="463">
        <f>landbouw!D8</f>
        <v>1661.010445955623</v>
      </c>
      <c r="E7" s="463">
        <f>landbouw!E8</f>
        <v>3.2133957793214019</v>
      </c>
      <c r="F7" s="463">
        <f>landbouw!F8</f>
        <v>879.83230063052997</v>
      </c>
      <c r="G7" s="463">
        <f>landbouw!G8</f>
        <v>0</v>
      </c>
      <c r="H7" s="463">
        <f>landbouw!H8</f>
        <v>0</v>
      </c>
      <c r="I7" s="463">
        <f>landbouw!I8</f>
        <v>0</v>
      </c>
      <c r="J7" s="463">
        <f>landbouw!J8</f>
        <v>38.349904118605743</v>
      </c>
      <c r="K7" s="463">
        <f>landbouw!K8</f>
        <v>0</v>
      </c>
      <c r="L7" s="463">
        <f>landbouw!L8</f>
        <v>0</v>
      </c>
      <c r="M7" s="463">
        <f>landbouw!M8</f>
        <v>0</v>
      </c>
      <c r="N7" s="463">
        <f>landbouw!N8</f>
        <v>0</v>
      </c>
      <c r="O7" s="463">
        <f>landbouw!O8</f>
        <v>0</v>
      </c>
      <c r="P7" s="464">
        <f>landbouw!P8</f>
        <v>0</v>
      </c>
      <c r="Q7" s="462">
        <f t="shared" si="0"/>
        <v>2899.768527885014</v>
      </c>
    </row>
    <row r="8" spans="1:17">
      <c r="A8" s="462" t="s">
        <v>657</v>
      </c>
      <c r="B8" s="463">
        <f>industrie!B18</f>
        <v>1058.142030956071</v>
      </c>
      <c r="C8" s="463">
        <f>industrie!C18</f>
        <v>0</v>
      </c>
      <c r="D8" s="463">
        <f>industrie!D18</f>
        <v>1588.945677266674</v>
      </c>
      <c r="E8" s="463">
        <f>industrie!E18</f>
        <v>123.5796287669053</v>
      </c>
      <c r="F8" s="463">
        <f>industrie!F18</f>
        <v>1145.2582667122174</v>
      </c>
      <c r="G8" s="463">
        <f>industrie!G18</f>
        <v>0</v>
      </c>
      <c r="H8" s="463">
        <f>industrie!H18</f>
        <v>0</v>
      </c>
      <c r="I8" s="463">
        <f>industrie!I18</f>
        <v>0</v>
      </c>
      <c r="J8" s="463">
        <f>industrie!J18</f>
        <v>0.51397572866848174</v>
      </c>
      <c r="K8" s="463">
        <f>industrie!K18</f>
        <v>0</v>
      </c>
      <c r="L8" s="463">
        <f>industrie!L18</f>
        <v>0</v>
      </c>
      <c r="M8" s="463">
        <f>industrie!M18</f>
        <v>0</v>
      </c>
      <c r="N8" s="463">
        <f>industrie!N18</f>
        <v>298.9397304862502</v>
      </c>
      <c r="O8" s="463">
        <f>industrie!O18</f>
        <v>0</v>
      </c>
      <c r="P8" s="464">
        <f>industrie!P18</f>
        <v>0</v>
      </c>
      <c r="Q8" s="462">
        <f t="shared" si="0"/>
        <v>4215.379309916787</v>
      </c>
    </row>
    <row r="9" spans="1:17" s="468" customFormat="1">
      <c r="A9" s="466" t="s">
        <v>574</v>
      </c>
      <c r="B9" s="467">
        <f>transport!B14</f>
        <v>1.0235108883531023</v>
      </c>
      <c r="C9" s="467"/>
      <c r="D9" s="467">
        <f>transport!D14</f>
        <v>1.6787589305444235</v>
      </c>
      <c r="E9" s="467">
        <f>transport!E14</f>
        <v>51.428716281521538</v>
      </c>
      <c r="F9" s="467"/>
      <c r="G9" s="467">
        <f>transport!G14</f>
        <v>10257.691717417385</v>
      </c>
      <c r="H9" s="467">
        <f>transport!H14</f>
        <v>2511.8401667537878</v>
      </c>
      <c r="I9" s="467"/>
      <c r="J9" s="467"/>
      <c r="K9" s="467"/>
      <c r="L9" s="467"/>
      <c r="M9" s="467">
        <f>transport!M14</f>
        <v>577.61723866744285</v>
      </c>
      <c r="N9" s="467"/>
      <c r="O9" s="467"/>
      <c r="P9" s="467"/>
      <c r="Q9" s="466">
        <f>SUM(B9:P9)</f>
        <v>13401.280108939034</v>
      </c>
    </row>
    <row r="10" spans="1:17">
      <c r="A10" s="462" t="s">
        <v>564</v>
      </c>
      <c r="B10" s="463">
        <f>transport!B54</f>
        <v>0</v>
      </c>
      <c r="C10" s="463"/>
      <c r="D10" s="463">
        <f>transport!D54</f>
        <v>0</v>
      </c>
      <c r="E10" s="463"/>
      <c r="F10" s="463"/>
      <c r="G10" s="463">
        <f>transport!G54</f>
        <v>923.33226785605848</v>
      </c>
      <c r="H10" s="463"/>
      <c r="I10" s="463"/>
      <c r="J10" s="463"/>
      <c r="K10" s="463"/>
      <c r="L10" s="463"/>
      <c r="M10" s="463">
        <f>transport!M54</f>
        <v>41.062844345075568</v>
      </c>
      <c r="N10" s="463"/>
      <c r="O10" s="463"/>
      <c r="P10" s="464"/>
      <c r="Q10" s="462">
        <f t="shared" si="0"/>
        <v>964.395112201134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24297.87878312626</v>
      </c>
      <c r="C14" s="473">
        <f t="shared" ref="C14:Q14" ca="1" si="1">SUM(C4:C13)</f>
        <v>124.71428571428569</v>
      </c>
      <c r="D14" s="473">
        <f t="shared" ca="1" si="1"/>
        <v>69061.745228707092</v>
      </c>
      <c r="E14" s="473">
        <f t="shared" si="1"/>
        <v>421.56643975545643</v>
      </c>
      <c r="F14" s="473">
        <f t="shared" ca="1" si="1"/>
        <v>6181.7818641930062</v>
      </c>
      <c r="G14" s="473">
        <f t="shared" si="1"/>
        <v>11181.023985273443</v>
      </c>
      <c r="H14" s="473">
        <f t="shared" si="1"/>
        <v>2511.8401667537878</v>
      </c>
      <c r="I14" s="473">
        <f t="shared" si="1"/>
        <v>0</v>
      </c>
      <c r="J14" s="473">
        <f t="shared" si="1"/>
        <v>38.863879847274227</v>
      </c>
      <c r="K14" s="473">
        <f t="shared" si="1"/>
        <v>0</v>
      </c>
      <c r="L14" s="473">
        <f t="shared" ca="1" si="1"/>
        <v>0</v>
      </c>
      <c r="M14" s="473">
        <f t="shared" si="1"/>
        <v>618.68008301251837</v>
      </c>
      <c r="N14" s="473">
        <f t="shared" ca="1" si="1"/>
        <v>2486.4192281149644</v>
      </c>
      <c r="O14" s="473">
        <f t="shared" si="1"/>
        <v>78.166666666666671</v>
      </c>
      <c r="P14" s="474">
        <f t="shared" si="1"/>
        <v>114.4</v>
      </c>
      <c r="Q14" s="474">
        <f t="shared" ca="1" si="1"/>
        <v>117117.08061116474</v>
      </c>
    </row>
    <row r="16" spans="1:17">
      <c r="A16" s="476" t="s">
        <v>569</v>
      </c>
      <c r="B16" s="829">
        <f ca="1">huishoudens!B10</f>
        <v>0.21200997930766813</v>
      </c>
      <c r="C16" s="829">
        <f ca="1">huishoudens!C10</f>
        <v>0.11882352941176472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3145.0130350506315</v>
      </c>
      <c r="C21" s="463">
        <f t="shared" ref="C21:C28" ca="1" si="3">C4*$C$16</f>
        <v>0</v>
      </c>
      <c r="D21" s="463">
        <f t="shared" ref="D21:D30" si="4">D4*$D$16</f>
        <v>10877.5966680689</v>
      </c>
      <c r="E21" s="463">
        <f t="shared" ref="E21:E30" si="5">E4*$E$16</f>
        <v>36.996877038510384</v>
      </c>
      <c r="F21" s="463">
        <f t="shared" ref="F21:F28" si="6">F4*$F$16</f>
        <v>748.07692282153687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14807.68350297958</v>
      </c>
    </row>
    <row r="22" spans="1:17">
      <c r="A22" s="462" t="s">
        <v>156</v>
      </c>
      <c r="B22" s="463">
        <f t="shared" ca="1" si="2"/>
        <v>1581.7969232286896</v>
      </c>
      <c r="C22" s="463">
        <f t="shared" ca="1" si="3"/>
        <v>7.4094957983193268</v>
      </c>
      <c r="D22" s="463">
        <f t="shared" ca="1" si="4"/>
        <v>2416.0456219350599</v>
      </c>
      <c r="E22" s="463">
        <f t="shared" si="5"/>
        <v>18.242369618079383</v>
      </c>
      <c r="F22" s="463">
        <f t="shared" ca="1" si="6"/>
        <v>361.75965343748243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4385.2540640176303</v>
      </c>
    </row>
    <row r="23" spans="1:17">
      <c r="A23" s="462" t="s">
        <v>194</v>
      </c>
      <c r="B23" s="463">
        <f t="shared" ca="1" si="2"/>
        <v>145.96547859366058</v>
      </c>
      <c r="C23" s="463"/>
      <c r="D23" s="463"/>
      <c r="E23" s="463"/>
      <c r="F23" s="463"/>
      <c r="G23" s="463"/>
      <c r="H23" s="463"/>
      <c r="I23" s="463"/>
      <c r="J23" s="463"/>
      <c r="K23" s="463"/>
      <c r="L23" s="463"/>
      <c r="M23" s="463"/>
      <c r="N23" s="463"/>
      <c r="O23" s="463"/>
      <c r="P23" s="464"/>
      <c r="Q23" s="462">
        <f t="shared" ca="1" si="17"/>
        <v>145.96547859366058</v>
      </c>
    </row>
    <row r="24" spans="1:17">
      <c r="A24" s="462" t="s">
        <v>112</v>
      </c>
      <c r="B24" s="463">
        <f t="shared" ca="1" si="2"/>
        <v>54.06367654801408</v>
      </c>
      <c r="C24" s="463">
        <f t="shared" ca="1" si="3"/>
        <v>7.4094957983193268</v>
      </c>
      <c r="D24" s="463">
        <f t="shared" si="4"/>
        <v>335.52411008303585</v>
      </c>
      <c r="E24" s="463">
        <f t="shared" si="5"/>
        <v>0.72944084190595826</v>
      </c>
      <c r="F24" s="463">
        <f t="shared" si="6"/>
        <v>234.91522426835152</v>
      </c>
      <c r="G24" s="463">
        <f t="shared" si="7"/>
        <v>0</v>
      </c>
      <c r="H24" s="463">
        <f t="shared" si="8"/>
        <v>0</v>
      </c>
      <c r="I24" s="463">
        <f t="shared" si="9"/>
        <v>0</v>
      </c>
      <c r="J24" s="463">
        <f t="shared" si="10"/>
        <v>13.575866057986433</v>
      </c>
      <c r="K24" s="463">
        <f t="shared" si="11"/>
        <v>0</v>
      </c>
      <c r="L24" s="463">
        <f t="shared" si="12"/>
        <v>0</v>
      </c>
      <c r="M24" s="463">
        <f t="shared" si="13"/>
        <v>0</v>
      </c>
      <c r="N24" s="463">
        <f t="shared" si="14"/>
        <v>0</v>
      </c>
      <c r="O24" s="463">
        <f t="shared" si="15"/>
        <v>0</v>
      </c>
      <c r="P24" s="464">
        <f t="shared" si="16"/>
        <v>0</v>
      </c>
      <c r="Q24" s="462">
        <f t="shared" ca="1" si="17"/>
        <v>646.21781359761314</v>
      </c>
    </row>
    <row r="25" spans="1:17">
      <c r="A25" s="462" t="s">
        <v>657</v>
      </c>
      <c r="B25" s="463">
        <f t="shared" ca="1" si="2"/>
        <v>224.33667008757055</v>
      </c>
      <c r="C25" s="463">
        <f t="shared" ca="1" si="3"/>
        <v>0</v>
      </c>
      <c r="D25" s="463">
        <f t="shared" si="4"/>
        <v>320.96702680786819</v>
      </c>
      <c r="E25" s="463">
        <f t="shared" si="5"/>
        <v>28.052575730087504</v>
      </c>
      <c r="F25" s="463">
        <f t="shared" si="6"/>
        <v>305.78395721216208</v>
      </c>
      <c r="G25" s="463">
        <f t="shared" si="7"/>
        <v>0</v>
      </c>
      <c r="H25" s="463">
        <f t="shared" si="8"/>
        <v>0</v>
      </c>
      <c r="I25" s="463">
        <f t="shared" si="9"/>
        <v>0</v>
      </c>
      <c r="J25" s="463">
        <f t="shared" si="10"/>
        <v>0.18194740794864253</v>
      </c>
      <c r="K25" s="463">
        <f t="shared" si="11"/>
        <v>0</v>
      </c>
      <c r="L25" s="463">
        <f t="shared" si="12"/>
        <v>0</v>
      </c>
      <c r="M25" s="463">
        <f t="shared" si="13"/>
        <v>0</v>
      </c>
      <c r="N25" s="463">
        <f t="shared" si="14"/>
        <v>0</v>
      </c>
      <c r="O25" s="463">
        <f t="shared" si="15"/>
        <v>0</v>
      </c>
      <c r="P25" s="464">
        <f t="shared" si="16"/>
        <v>0</v>
      </c>
      <c r="Q25" s="462">
        <f t="shared" ca="1" si="17"/>
        <v>879.32217724563702</v>
      </c>
    </row>
    <row r="26" spans="1:17" s="468" customFormat="1">
      <c r="A26" s="466" t="s">
        <v>574</v>
      </c>
      <c r="B26" s="823">
        <f t="shared" ca="1" si="2"/>
        <v>0.21699452226091426</v>
      </c>
      <c r="C26" s="467"/>
      <c r="D26" s="467">
        <f t="shared" si="4"/>
        <v>0.33910930396997357</v>
      </c>
      <c r="E26" s="467">
        <f t="shared" si="5"/>
        <v>11.67431859590539</v>
      </c>
      <c r="F26" s="467"/>
      <c r="G26" s="467">
        <f t="shared" si="7"/>
        <v>2738.8036885504421</v>
      </c>
      <c r="H26" s="467">
        <f t="shared" si="8"/>
        <v>625.44820152169314</v>
      </c>
      <c r="I26" s="467"/>
      <c r="J26" s="467"/>
      <c r="K26" s="467"/>
      <c r="L26" s="467"/>
      <c r="M26" s="467">
        <f t="shared" si="13"/>
        <v>0</v>
      </c>
      <c r="N26" s="467"/>
      <c r="O26" s="467"/>
      <c r="P26" s="478"/>
      <c r="Q26" s="466">
        <f t="shared" ca="1" si="17"/>
        <v>3376.4823124942714</v>
      </c>
    </row>
    <row r="27" spans="1:17">
      <c r="A27" s="462" t="s">
        <v>564</v>
      </c>
      <c r="B27" s="463">
        <f t="shared" ca="1" si="2"/>
        <v>0</v>
      </c>
      <c r="C27" s="463"/>
      <c r="D27" s="467">
        <f t="shared" si="4"/>
        <v>0</v>
      </c>
      <c r="E27" s="463"/>
      <c r="F27" s="463"/>
      <c r="G27" s="463">
        <f t="shared" si="7"/>
        <v>246.52971551756764</v>
      </c>
      <c r="H27" s="463"/>
      <c r="I27" s="463"/>
      <c r="J27" s="463"/>
      <c r="K27" s="463"/>
      <c r="L27" s="463"/>
      <c r="M27" s="463">
        <f t="shared" si="13"/>
        <v>0</v>
      </c>
      <c r="N27" s="463"/>
      <c r="O27" s="463"/>
      <c r="P27" s="464"/>
      <c r="Q27" s="462">
        <f t="shared" ca="1" si="17"/>
        <v>246.52971551756764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5151.3927780308277</v>
      </c>
      <c r="C31" s="473">
        <f t="shared" ca="1" si="18"/>
        <v>14.818991596638654</v>
      </c>
      <c r="D31" s="473">
        <f t="shared" ca="1" si="18"/>
        <v>13950.472536198833</v>
      </c>
      <c r="E31" s="473">
        <f t="shared" si="18"/>
        <v>95.695581824488613</v>
      </c>
      <c r="F31" s="473">
        <f t="shared" ca="1" si="18"/>
        <v>1650.5357577395328</v>
      </c>
      <c r="G31" s="473">
        <f t="shared" si="18"/>
        <v>2985.3334040680097</v>
      </c>
      <c r="H31" s="473">
        <f t="shared" si="18"/>
        <v>625.44820152169314</v>
      </c>
      <c r="I31" s="473">
        <f t="shared" si="18"/>
        <v>0</v>
      </c>
      <c r="J31" s="473">
        <f t="shared" si="18"/>
        <v>13.757813465935076</v>
      </c>
      <c r="K31" s="473">
        <f t="shared" si="18"/>
        <v>0</v>
      </c>
      <c r="L31" s="473">
        <f t="shared" ca="1" si="18"/>
        <v>0</v>
      </c>
      <c r="M31" s="473">
        <f t="shared" si="18"/>
        <v>0</v>
      </c>
      <c r="N31" s="473">
        <f t="shared" ca="1" si="18"/>
        <v>0</v>
      </c>
      <c r="O31" s="473">
        <f t="shared" si="18"/>
        <v>0</v>
      </c>
      <c r="P31" s="474">
        <f t="shared" si="18"/>
        <v>0</v>
      </c>
      <c r="Q31" s="474">
        <f t="shared" ca="1" si="18"/>
        <v>24487.455064445963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0.21200997930766813</v>
      </c>
      <c r="C17" s="513">
        <f ca="1">'EF ele_warmte'!B22</f>
        <v>0.11882352941176472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0.21200997930766813</v>
      </c>
      <c r="C17" s="513">
        <f ca="1">'EF ele_warmte'!B22</f>
        <v>0.11882352941176472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0.21200997930766813</v>
      </c>
      <c r="C29" s="514">
        <f ca="1">'EF ele_warmte'!B22</f>
        <v>0.11882352941176472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2019-01-02T18:01:49Z</dcterms:modified>
</cp:coreProperties>
</file>