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L6" i="17"/>
  <c r="L5" s="1"/>
  <c r="D8"/>
  <c r="D12" s="1"/>
  <c r="E48" i="14" s="1"/>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E22"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7" l="1"/>
  <c r="E24" s="1"/>
  <c r="E12" i="17"/>
  <c r="F48" i="14" s="1"/>
  <c r="L7" i="48"/>
  <c r="L24" s="1"/>
  <c r="P15" i="14"/>
  <c r="P23" s="1"/>
  <c r="H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N46" i="14" l="1"/>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17" i="19"/>
  <c r="C19" s="1"/>
  <c r="D35" i="14" s="1"/>
  <c r="C18" i="15"/>
  <c r="C20" s="1"/>
  <c r="D36" i="14" s="1"/>
  <c r="C10" i="13"/>
  <c r="C16" i="48" s="1"/>
  <c r="C21" s="1"/>
  <c r="C29" i="20"/>
  <c r="C10" i="17"/>
  <c r="C12" s="1"/>
  <c r="D48" i="14" s="1"/>
  <c r="C56" i="22"/>
  <c r="C58" s="1"/>
  <c r="D44" i="14" s="1"/>
  <c r="D46" s="1"/>
  <c r="C20" i="16"/>
  <c r="C22" s="1"/>
  <c r="D39" i="14" s="1"/>
  <c r="C16" i="22"/>
  <c r="N55" i="14"/>
  <c r="J8" i="48"/>
  <c r="J25" s="1"/>
  <c r="J31" s="1"/>
  <c r="K13" i="14"/>
  <c r="K15" s="1"/>
  <c r="K23" s="1"/>
  <c r="K55" s="1"/>
  <c r="N25" i="48"/>
  <c r="N14"/>
  <c r="E25"/>
  <c r="E31" s="1"/>
  <c r="E14"/>
  <c r="N31"/>
  <c r="H55" i="14"/>
  <c r="E55"/>
  <c r="C78"/>
  <c r="C81" s="1"/>
  <c r="R19"/>
  <c r="R20" s="1"/>
  <c r="H14" i="48"/>
  <c r="G31"/>
  <c r="H26"/>
  <c r="H31" s="1"/>
  <c r="F55" i="14"/>
  <c r="O53"/>
  <c r="G53"/>
  <c r="G55" s="1"/>
  <c r="O69" s="1"/>
  <c r="B9" i="6" s="1"/>
  <c r="B12" s="1"/>
  <c r="M53" i="14"/>
  <c r="M55" s="1"/>
  <c r="C24" i="48"/>
  <c r="C28"/>
  <c r="C22"/>
  <c r="C25"/>
  <c r="F25"/>
  <c r="F31" s="1"/>
  <c r="F14"/>
  <c r="J14" l="1"/>
  <c r="R13" i="14"/>
  <c r="R15" s="1"/>
  <c r="R23" s="1"/>
  <c r="Q8" i="48"/>
  <c r="Q14" s="1"/>
  <c r="C12" i="13"/>
  <c r="D37" i="14" s="1"/>
  <c r="D41" s="1"/>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<sst xmlns="http://schemas.openxmlformats.org/spreadsheetml/2006/main" count="2232" uniqueCount="910">
  <si>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</si>
  <si>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</si>
  <si>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</si>
  <si>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</si>
  <si>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</si>
  <si>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</si>
  <si>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</si>
  <si>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</si>
  <si>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</si>
  <si>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</si>
  <si>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</si>
  <si>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</si>
  <si>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</si>
  <si>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</si>
  <si>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</si>
  <si>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</si>
  <si>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</si>
  <si>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</si>
  <si>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</si>
  <si>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</si>
  <si>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</si>
  <si>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</si>
  <si>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</si>
  <si>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</si>
  <si>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</si>
  <si>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</si>
  <si>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</si>
  <si>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</si>
  <si>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</si>
  <si>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</si>
  <si>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</si>
  <si>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</si>
  <si>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</si>
  <si>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</si>
  <si>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</si>
  <si>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</si>
  <si>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</si>
  <si>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</si>
  <si>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</si>
  <si>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</si>
  <si>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</si>
  <si>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</si>
  <si>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</si>
  <si>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</si>
  <si>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</si>
  <si>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</si>
  <si>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</si>
  <si>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</si>
  <si>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</si>
  <si>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</si>
  <si>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</si>
  <si>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</si>
  <si>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</si>
  <si>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</si>
  <si>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</si>
  <si>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</si>
  <si>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</si>
  <si>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</si>
  <si>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</si>
  <si>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</si>
  <si>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</si>
  <si>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</si>
  <si>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</si>
  <si>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</si>
  <si>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</si>
  <si>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</si>
  <si>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</si>
  <si>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</si>
  <si>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</si>
  <si>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</si>
  <si>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</si>
  <si>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</si>
  <si>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</si>
  <si>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</si>
  <si>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</si>
  <si>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</si>
  <si>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</si>
  <si>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</si>
  <si>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</si>
  <si>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</si>
  <si>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</si>
  <si>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</si>
  <si>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</si>
  <si>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</si>
  <si>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</si>
  <si>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</si>
  <si>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</si>
  <si>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</si>
  <si>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</si>
  <si>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</si>
  <si>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</si>
  <si>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</si>
  <si>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</si>
  <si>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</si>
  <si>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</si>
  <si>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</si>
  <si>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</si>
  <si>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</si>
  <si>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</si>
  <si>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</si>
  <si>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</si>
  <si>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</si>
  <si>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</si>
  <si>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</si>
  <si>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</si>
  <si>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</si>
  <si>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</si>
  <si>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</si>
  <si>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</si>
  <si>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</si>
  <si>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</si>
  <si>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</si>
  <si>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</si>
  <si>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</si>
  <si>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</si>
  <si>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</si>
  <si>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</si>
  <si>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</si>
  <si>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</si>
  <si>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</si>
  <si>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</si>
  <si>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</si>
  <si>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</si>
  <si>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</si>
  <si>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</si>
  <si>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</si>
  <si>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</si>
  <si>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</si>
  <si>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</si>
  <si>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</si>
  <si>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</si>
  <si>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</si>
  <si>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</si>
  <si>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</si>
  <si>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</si>
  <si>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</si>
  <si>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</si>
  <si>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</si>
  <si>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</si>
  <si>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</si>
  <si>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</si>
  <si>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</si>
  <si>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</si>
  <si>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</si>
  <si>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</si>
  <si>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</si>
  <si>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</si>
  <si>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</si>
  <si>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</si>
  <si>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</si>
  <si>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</si>
  <si>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</si>
  <si>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</si>
  <si>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</si>
  <si>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</si>
  <si>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</si>
  <si>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</si>
  <si>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</si>
  <si>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</si>
  <si>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</si>
  <si>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</si>
  <si>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</si>
  <si>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</si>
  <si>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</si>
  <si>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</si>
  <si>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</si>
  <si>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</si>
  <si>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</si>
  <si>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</si>
  <si>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</si>
  <si>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</si>
  <si>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</si>
  <si>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</si>
  <si>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</si>
  <si>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</si>
  <si>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</si>
  <si>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</si>
  <si>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</si>
  <si>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</si>
  <si>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</si>
  <si>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</si>
  <si>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</si>
  <si>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</si>
  <si>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</si>
  <si>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</si>
  <si>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</si>
  <si>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</si>
  <si>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</si>
  <si>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</si>
  <si>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</si>
  <si>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</si>
  <si>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</si>
  <si>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</si>
  <si>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</si>
  <si>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</si>
  <si>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</si>
  <si>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</si>
  <si>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</si>
  <si>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</si>
  <si>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</si>
  <si>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</si>
  <si>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</si>
  <si>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</si>
  <si>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</si>
  <si>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</si>
  <si>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</si>
  <si>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</si>
  <si>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</si>
  <si>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</si>
  <si>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</si>
  <si>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</si>
  <si>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</si>
  <si>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</si>
  <si>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</si>
  <si>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</si>
  <si>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</si>
  <si>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</si>
  <si>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</si>
  <si>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</si>
  <si>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</si>
  <si>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</si>
  <si>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</si>
  <si>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</si>
  <si>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</si>
  <si>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</si>
  <si>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</si>
  <si>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</si>
  <si>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</si>
  <si>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</si>
  <si>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</si>
  <si>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</si>
  <si>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</si>
  <si>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</si>
  <si>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</si>
  <si>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</si>
  <si>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</si>
  <si>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</si>
  <si>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</si>
  <si>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</si>
  <si>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</si>
  <si>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</si>
  <si>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</si>
  <si>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</si>
  <si>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</si>
  <si>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</si>
  <si>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</si>
  <si>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</si>
  <si>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</si>
  <si>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</si>
  <si>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</si>
  <si>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</si>
  <si>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</si>
  <si>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</si>
  <si>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</si>
  <si>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</si>
  <si>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</si>
  <si>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</si>
  <si>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</si>
  <si>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</si>
  <si>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</si>
  <si>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</si>
  <si>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</si>
  <si>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</si>
  <si>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</si>
  <si>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</si>
  <si>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</si>
  <si>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</si>
  <si>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</si>
  <si>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</si>
  <si>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</si>
  <si>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</si>
  <si>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</si>
  <si>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</si>
  <si>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</si>
  <si>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</si>
  <si>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</si>
  <si>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</si>
  <si>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</si>
  <si>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</si>
  <si>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</si>
  <si>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</si>
  <si>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</si>
  <si>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</si>
  <si>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</si>
  <si>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</si>
  <si>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</si>
  <si>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</si>
  <si>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</si>
  <si>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</si>
  <si>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</si>
  <si>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</si>
  <si>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</si>
  <si>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</si>
  <si>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</si>
  <si>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</si>
  <si>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</si>
  <si>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</si>
  <si>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</si>
  <si>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</si>
  <si>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</si>
  <si>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</si>
  <si>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</si>
  <si>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</si>
  <si>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</si>
  <si>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</si>
  <si>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</si>
  <si>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</si>
  <si>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</si>
  <si>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</si>
  <si>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</si>
  <si>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</si>
  <si>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</si>
  <si>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</si>
  <si>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</si>
  <si>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</si>
  <si>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</si>
  <si>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</si>
  <si>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</si>
  <si>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</si>
  <si>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</si>
  <si>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</si>
  <si>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</si>
  <si>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</si>
  <si>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</si>
  <si>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</si>
  <si>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</si>
  <si>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</si>
  <si>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</si>
  <si>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</si>
  <si>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</si>
  <si>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</si>
  <si>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</si>
  <si>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</si>
  <si>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</si>
  <si>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</si>
  <si>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</si>
  <si>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</si>
  <si>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</si>
  <si>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</si>
  <si>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</si>
  <si>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</si>
  <si>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</si>
  <si>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</si>
  <si>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</si>
  <si>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</si>
  <si>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</si>
  <si>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</si>
  <si>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</si>
  <si>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</si>
  <si>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</si>
  <si>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</si>
  <si>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</si>
  <si>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</si>
  <si>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</si>
  <si>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</si>
  <si>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</si>
  <si>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</si>
  <si>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</si>
  <si>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</si>
  <si>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</si>
  <si>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</si>
  <si>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</si>
  <si>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</si>
  <si>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</si>
  <si>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</si>
  <si>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</si>
  <si>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</si>
  <si>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</si>
  <si>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</si>
  <si>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</si>
  <si>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</si>
  <si>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</si>
  <si>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</si>
  <si>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</si>
  <si>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</si>
  <si>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</si>
  <si>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</si>
  <si>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</si>
  <si>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</si>
  <si>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</si>
  <si>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</si>
  <si>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</si>
  <si>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</si>
  <si>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</si>
  <si>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</si>
  <si>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</si>
  <si>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</si>
  <si>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</si>
  <si>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</si>
  <si>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</si>
  <si>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</si>
  <si>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</si>
  <si>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</si>
  <si>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</si>
  <si>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</si>
  <si>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</si>
  <si>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</si>
  <si>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</si>
  <si>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</si>
  <si>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</si>
  <si>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</si>
  <si>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</si>
  <si>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</si>
  <si>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</si>
  <si>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</si>
  <si>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</si>
  <si>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</si>
  <si>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</si>
  <si>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</si>
  <si>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</si>
  <si>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</si>
  <si>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</si>
  <si>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</si>
  <si>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</si>
  <si>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</si>
  <si>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</si>
  <si>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</si>
  <si>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</si>
  <si>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</si>
  <si>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</si>
  <si>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</si>
  <si>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</si>
  <si>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</si>
  <si>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</si>
  <si>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</si>
  <si>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</si>
  <si>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</si>
  <si>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</si>
  <si>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</si>
  <si>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</si>
  <si>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</si>
  <si>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</si>
  <si>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</si>
  <si>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</si>
  <si>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</si>
  <si>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</si>
  <si>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</si>
  <si>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</si>
  <si>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</si>
  <si>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</si>
  <si>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</si>
  <si>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</si>
  <si>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</si>
  <si>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</si>
  <si>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</si>
  <si>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</si>
  <si>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</si>
  <si>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</si>
  <si>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</si>
  <si>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</si>
  <si>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</si>
  <si>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</si>
  <si>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</si>
  <si>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</si>
  <si>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</si>
  <si>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</si>
  <si>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</si>
  <si>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</si>
  <si>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</si>
  <si>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</si>
  <si>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</si>
  <si>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</si>
  <si>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</si>
  <si>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</si>
  <si>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</si>
  <si>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</si>
  <si>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</si>
  <si>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</si>
  <si>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</si>
  <si>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</si>
  <si>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</si>
  <si>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</si>
  <si>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</si>
  <si>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</si>
  <si>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</si>
  <si>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</si>
  <si>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</si>
  <si>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</si>
  <si>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</si>
  <si>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</si>
  <si>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</si>
  <si>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</si>
  <si>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</si>
  <si>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</si>
  <si>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</si>
  <si>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</si>
  <si>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</si>
  <si>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</si>
  <si>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</si>
  <si>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</si>
  <si>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</si>
  <si>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</si>
  <si>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</si>
  <si>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</si>
  <si>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</si>
  <si>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</si>
  <si>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</si>
  <si>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</si>
  <si>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</si>
  <si>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</si>
  <si>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</si>
  <si>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</si>
  <si>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</si>
  <si>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</si>
  <si>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</si>
  <si>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</si>
  <si>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</si>
  <si>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</si>
  <si>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</si>
  <si>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</si>
  <si>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</si>
  <si>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</si>
  <si>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</si>
  <si>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</si>
  <si>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</si>
  <si>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</si>
  <si>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</si>
  <si>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</si>
  <si>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</si>
  <si>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</si>
  <si>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</si>
  <si>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</si>
  <si>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</si>
  <si>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</si>
  <si>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</si>
  <si>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</si>
  <si>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</si>
  <si>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</si>
  <si>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</si>
  <si>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</si>
  <si>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</si>
  <si>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</si>
  <si>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</si>
  <si>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</si>
  <si>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</si>
  <si>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</si>
  <si>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</si>
  <si>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</si>
  <si>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</si>
  <si>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</si>
  <si>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</si>
  <si>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</si>
  <si>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</si>
  <si>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</si>
  <si>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</si>
  <si>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</si>
  <si>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</si>
  <si>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</si>
  <si>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</si>
  <si>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</si>
  <si>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</si>
  <si>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</si>
  <si>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</si>
  <si>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</si>
  <si>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</si>
  <si>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</si>
  <si>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</si>
  <si>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</si>
  <si>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</si>
  <si>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</si>
  <si>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</si>
  <si>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</si>
  <si>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</si>
  <si>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</si>
  <si>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</si>
  <si>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</si>
  <si>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</si>
  <si>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</si>
  <si>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</si>
  <si>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</si>
  <si>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</si>
  <si>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</si>
  <si>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</si>
  <si>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</si>
  <si>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</si>
  <si>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</si>
  <si>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</si>
  <si>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</si>
  <si>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</si>
  <si>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</si>
  <si>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</si>
  <si>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</si>
  <si>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</si>
  <si>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</si>
  <si>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</si>
  <si>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</si>
  <si>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</si>
  <si>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</si>
  <si>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</si>
  <si>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</si>
  <si>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</si>
  <si>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</si>
  <si>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</si>
  <si>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</si>
  <si>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</si>
  <si>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</si>
  <si>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</si>
  <si>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</si>
  <si>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</si>
  <si>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</si>
  <si>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</si>
  <si>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</si>
  <si>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</si>
  <si>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</si>
  <si>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</si>
  <si>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</si>
  <si>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</si>
  <si>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</si>
  <si>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</si>
  <si>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</si>
  <si>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</si>
  <si>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</si>
  <si>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</si>
  <si>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</si>
  <si>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</si>
  <si>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</si>
  <si>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</si>
  <si>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</si>
  <si>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</si>
  <si>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</si>
  <si>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</si>
  <si>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</si>
  <si>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</si>
  <si>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</si>
  <si>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</si>
  <si>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</si>
  <si>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</si>
  <si>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</si>
  <si>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</si>
  <si>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</si>
  <si>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</si>
  <si>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</si>
  <si>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</si>
  <si>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</si>
  <si>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</si>
  <si>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</si>
  <si>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</si>
  <si>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</si>
  <si>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</si>
  <si>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</si>
  <si>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</si>
  <si>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</si>
  <si>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</si>
  <si>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</si>
  <si>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</si>
  <si>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</si>
  <si>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</si>
  <si>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</si>
  <si>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</si>
  <si>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</si>
  <si>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</si>
  <si>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</si>
  <si>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</si>
  <si>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</si>
  <si>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</si>
  <si>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</si>
  <si>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</si>
  <si>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</si>
  <si>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</si>
  <si>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</si>
  <si>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</si>
  <si>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</si>
  <si>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</si>
  <si>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</si>
  <si>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</si>
  <si>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</si>
  <si>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</si>
  <si>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</si>
  <si>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</si>
  <si>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</si>
  <si>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</si>
  <si>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</si>
  <si>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</si>
  <si>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</si>
  <si>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</si>
  <si>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</si>
  <si>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</si>
  <si>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</si>
  <si>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</si>
  <si>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</si>
  <si>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</si>
  <si>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</si>
  <si>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</si>
  <si>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</si>
  <si>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</si>
  <si>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</si>
  <si>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</si>
  <si>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</si>
  <si>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</si>
  <si>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</si>
  <si>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</si>
  <si>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</si>
  <si>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</si>
  <si>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</si>
  <si>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</si>
  <si>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</si>
  <si>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</si>
  <si>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</si>
  <si>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</si>
  <si>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</si>
  <si>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</si>
  <si>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</si>
  <si>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</si>
  <si>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</si>
  <si>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</si>
  <si>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</si>
  <si>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</si>
  <si>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</si>
  <si>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</si>
  <si>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</si>
  <si>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</si>
  <si>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</si>
  <si>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</si>
  <si>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</si>
  <si>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</si>
  <si>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</si>
  <si>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</si>
  <si>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</si>
  <si>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</si>
  <si>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</si>
  <si>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</si>
  <si>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</si>
  <si>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</si>
  <si>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</si>
  <si>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</si>
  <si>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</si>
  <si>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</si>
  <si>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</si>
  <si>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</si>
  <si>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</si>
  <si>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</si>
  <si>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</si>
  <si>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</si>
  <si>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</si>
  <si>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</si>
  <si>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</si>
  <si>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</si>
  <si>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</si>
  <si>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</si>
  <si>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</si>
  <si>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</si>
  <si>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</si>
  <si>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</si>
  <si>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</si>
  <si>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</si>
  <si>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</si>
  <si>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</si>
  <si>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</si>
  <si>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</si>
  <si>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</si>
  <si>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</si>
  <si>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</si>
  <si>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</si>
  <si>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</si>
  <si>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</si>
  <si>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</si>
  <si>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</si>
  <si>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</si>
  <si>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</si>
  <si>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</si>
  <si>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</si>
  <si>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</si>
  <si>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</si>
  <si>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</si>
  <si>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</si>
  <si>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</si>
  <si>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</si>
  <si>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</si>
  <si>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</si>
  <si>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</si>
  <si>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</si>
  <si>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</si>
  <si>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</si>
  <si>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</si>
  <si>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</si>
  <si>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</si>
  <si>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</si>
  <si>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</si>
  <si>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</si>
  <si>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</si>
  <si>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</si>
  <si>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</si>
  <si>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</si>
  <si>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</si>
  <si>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</si>
  <si>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</si>
  <si>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</si>
  <si>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</si>
  <si>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</si>
  <si>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</si>
  <si>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</si>
  <si>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</si>
  <si>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</si>
  <si>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</si>
  <si>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</si>
  <si>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</si>
  <si>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</si>
  <si>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</si>
  <si>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</si>
  <si>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</si>
  <si>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</si>
  <si>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</si>
  <si>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</si>
  <si>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</si>
  <si>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</si>
  <si>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</si>
  <si>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</si>
  <si>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</si>
  <si>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</si>
  <si>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</si>
  <si>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</si>
  <si>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</si>
  <si>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</si>
  <si>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</si>
  <si>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</si>
  <si>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</si>
  <si>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</si>
  <si>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</si>
  <si>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</si>
  <si>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</si>
  <si>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</si>
  <si>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</si>
  <si>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</si>
  <si>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</si>
  <si>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</si>
  <si>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</si>
  <si>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</si>
  <si>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</si>
  <si>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</si>
  <si>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</si>
  <si>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</si>
  <si>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</si>
  <si>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</si>
  <si>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</si>
  <si>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</si>
  <si>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</si>
  <si>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</si>
  <si>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</si>
  <si>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</si>
  <si>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</si>
  <si>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</si>
  <si>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</si>
  <si>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</si>
  <si>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</si>
  <si>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</si>
  <si>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</si>
  <si>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</si>
  <si>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</si>
  <si>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</si>
  <si>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</si>
  <si>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</si>
  <si>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</si>
  <si>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</si>
  <si>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</si>
  <si>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</si>
  <si>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</si>
  <si>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</si>
  <si>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</si>
  <si>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</si>
  <si>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</si>
  <si>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</si>
  <si>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</si>
  <si>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</si>
  <si>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</si>
  <si>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</si>
  <si>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</si>
  <si>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</si>
  <si>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</si>
  <si>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</si>
  <si>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</si>
  <si>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</si>
  <si>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11004</t>
  </si>
  <si>
    <t>BOECHOUT</t>
  </si>
  <si>
    <t>Cultuurgrond (ha)</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</si>
  <si>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</si>
  <si>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</si>
  <si>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</si>
  <si>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</si>
  <si>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</si>
  <si>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</si>
  <si>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</si>
  <si>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</si>
  <si>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</si>
  <si>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</si>
  <si>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</si>
  <si>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</si>
  <si>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</si>
  <si>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</si>
  <si>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</si>
  <si>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</si>
  <si>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</si>
  <si>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</si>
  <si>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</si>
  <si>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</si>
  <si>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</si>
  <si>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</si>
  <si>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</si>
  <si>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</si>
  <si>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</si>
  <si>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</si>
  <si>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</si>
  <si>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</si>
  <si>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</si>
  <si>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</si>
  <si>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</si>
  <si>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</si>
  <si>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</si>
  <si>
    <t>Tomatenkwekerij A&amp;D Naenen nv</t>
  </si>
  <si>
    <t>Lispersteenweg 71 , 2530 Boechout</t>
  </si>
  <si>
    <t>WKK-0020 Tomatenkwekerij A&amp;D Naenen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</si>
</sst>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99584.928129635897</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65184"/>
        <c:axId val="182383360"/>
      </c:barChart>
      <c:catAx>
        <c:axId val="182365184"/>
        <c:scaling>
          <c:orientation val="minMax"/>
        </c:scaling>
        <c:axPos val="b"/>
        <c:numFmt formatCode="General" sourceLinked="0"/>
        <c:tickLblPos val="nextTo"/>
        <c:crossAx val="182383360"/>
        <c:crosses val="autoZero"/>
        <c:auto val="1"/>
        <c:lblAlgn val="ctr"/>
        <c:lblOffset val="100"/>
      </c:catAx>
      <c:valAx>
        <c:axId val="182383360"/>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99584.928129635897</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18917.204146034419</c:v>
                </c:pt>
                <c:pt idx="1">
                  <c:v>14021.520413739674</c:v>
                </c:pt>
                <c:pt idx="2">
                  <c:v>160.46381215964502</c:v>
                </c:pt>
                <c:pt idx="3">
                  <c:v>32670.651209924763</c:v>
                </c:pt>
                <c:pt idx="4">
                  <c:v>3387.7235094164289</c:v>
                </c:pt>
                <c:pt idx="5">
                  <c:v>11735.628439662989</c:v>
                </c:pt>
                <c:pt idx="6">
                  <c:v>545.28965242986328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86912"/>
        <c:axId val="182488448"/>
      </c:barChart>
      <c:catAx>
        <c:axId val="182486912"/>
        <c:scaling>
          <c:orientation val="minMax"/>
        </c:scaling>
        <c:axPos val="b"/>
        <c:numFmt formatCode="General" sourceLinked="0"/>
        <c:tickLblPos val="nextTo"/>
        <c:crossAx val="182488448"/>
        <c:crosses val="autoZero"/>
        <c:auto val="1"/>
        <c:lblAlgn val="ctr"/>
        <c:lblOffset val="100"/>
      </c:catAx>
      <c:valAx>
        <c:axId val="182488448"/>
        <c:scaling>
          <c:orientation val="minMax"/>
        </c:scaling>
        <c:axPos val="l"/>
        <c:majorGridlines/>
        <c:numFmt formatCode="#,##0" sourceLinked="1"/>
        <c:tickLblPos val="nextTo"/>
        <c:crossAx val="182486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18917.204146034419</c:v>
                </c:pt>
                <c:pt idx="1">
                  <c:v>14021.520413739674</c:v>
                </c:pt>
                <c:pt idx="2">
                  <c:v>160.46381215964502</c:v>
                </c:pt>
                <c:pt idx="3">
                  <c:v>32670.651209924763</c:v>
                </c:pt>
                <c:pt idx="4">
                  <c:v>3387.7235094164289</c:v>
                </c:pt>
                <c:pt idx="5">
                  <c:v>11735.628439662989</c:v>
                </c:pt>
                <c:pt idx="6">
                  <c:v>545.28965242986328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11004</v>
      </c>
      <c r="B6" s="398"/>
      <c r="C6" s="399"/>
    </row>
    <row r="7" spans="1:7" s="396" customFormat="1" ht="15.75" customHeight="1">
      <c r="A7" s="400" t="str">
        <f>txtMunicipality</f>
        <v>BOECHOUT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5013</v>
      </c>
      <c r="C9" s="338">
        <v>5289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963</v>
      </c>
    </row>
    <row r="15" spans="1:6">
      <c r="A15" s="1269" t="s">
        <v>184</v>
      </c>
      <c r="B15" s="335">
        <v>0</v>
      </c>
    </row>
    <row r="16" spans="1:6">
      <c r="A16" s="1269" t="s">
        <v>6</v>
      </c>
      <c r="B16" s="335">
        <v>29</v>
      </c>
    </row>
    <row r="17" spans="1:6">
      <c r="A17" s="1269" t="s">
        <v>7</v>
      </c>
      <c r="B17" s="335">
        <v>108</v>
      </c>
    </row>
    <row r="18" spans="1:6">
      <c r="A18" s="1269" t="s">
        <v>8</v>
      </c>
      <c r="B18" s="335">
        <v>105</v>
      </c>
    </row>
    <row r="19" spans="1:6">
      <c r="A19" s="1269" t="s">
        <v>9</v>
      </c>
      <c r="B19" s="335">
        <v>88</v>
      </c>
    </row>
    <row r="20" spans="1:6">
      <c r="A20" s="1269" t="s">
        <v>10</v>
      </c>
      <c r="B20" s="335">
        <v>97</v>
      </c>
    </row>
    <row r="21" spans="1:6">
      <c r="A21" s="1269" t="s">
        <v>11</v>
      </c>
      <c r="B21" s="335">
        <v>0</v>
      </c>
    </row>
    <row r="22" spans="1:6">
      <c r="A22" s="1269" t="s">
        <v>12</v>
      </c>
      <c r="B22" s="335">
        <v>0</v>
      </c>
    </row>
    <row r="23" spans="1:6">
      <c r="A23" s="1269" t="s">
        <v>13</v>
      </c>
      <c r="B23" s="335">
        <v>0</v>
      </c>
    </row>
    <row r="24" spans="1:6">
      <c r="A24" s="1269" t="s">
        <v>14</v>
      </c>
      <c r="B24" s="335">
        <v>1</v>
      </c>
    </row>
    <row r="25" spans="1:6">
      <c r="A25" s="1269" t="s">
        <v>15</v>
      </c>
      <c r="B25" s="335">
        <v>0</v>
      </c>
    </row>
    <row r="26" spans="1:6">
      <c r="A26" s="1269" t="s">
        <v>16</v>
      </c>
      <c r="B26" s="335">
        <v>33</v>
      </c>
    </row>
    <row r="27" spans="1:6">
      <c r="A27" s="1269" t="s">
        <v>17</v>
      </c>
      <c r="B27" s="335">
        <v>0</v>
      </c>
    </row>
    <row r="28" spans="1:6" s="341" customFormat="1">
      <c r="A28" s="1270" t="s">
        <v>18</v>
      </c>
      <c r="B28" s="1270">
        <v>2436</v>
      </c>
    </row>
    <row r="29" spans="1:6">
      <c r="A29" s="1270" t="s">
        <v>874</v>
      </c>
      <c r="B29" s="1270">
        <v>95</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15959771</v>
      </c>
      <c r="E38" s="335">
        <v>3</v>
      </c>
      <c r="F38" s="335">
        <v>129923</v>
      </c>
    </row>
    <row r="39" spans="1:6">
      <c r="A39" s="1269" t="s">
        <v>30</v>
      </c>
      <c r="B39" s="1269" t="s">
        <v>31</v>
      </c>
      <c r="C39" s="335">
        <v>4034</v>
      </c>
      <c r="D39" s="335">
        <v>73844970</v>
      </c>
      <c r="E39" s="335">
        <v>5130</v>
      </c>
      <c r="F39" s="335">
        <v>20614870</v>
      </c>
    </row>
    <row r="40" spans="1:6">
      <c r="A40" s="1269" t="s">
        <v>30</v>
      </c>
      <c r="B40" s="1269" t="s">
        <v>29</v>
      </c>
      <c r="C40" s="335">
        <v>0</v>
      </c>
      <c r="D40" s="335">
        <v>0</v>
      </c>
      <c r="E40" s="335">
        <v>0</v>
      </c>
      <c r="F40" s="335">
        <v>0</v>
      </c>
    </row>
    <row r="41" spans="1:6">
      <c r="A41" s="1269" t="s">
        <v>32</v>
      </c>
      <c r="B41" s="1269" t="s">
        <v>33</v>
      </c>
      <c r="C41" s="335">
        <v>16</v>
      </c>
      <c r="D41" s="335">
        <v>398273</v>
      </c>
      <c r="E41" s="335">
        <v>46</v>
      </c>
      <c r="F41" s="335">
        <v>2455468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71555</v>
      </c>
      <c r="E44" s="335">
        <v>7</v>
      </c>
      <c r="F44" s="335">
        <v>67800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8</v>
      </c>
      <c r="D47" s="335">
        <v>1742936</v>
      </c>
      <c r="E47" s="335">
        <v>8</v>
      </c>
      <c r="F47" s="335">
        <v>6119041</v>
      </c>
    </row>
    <row r="48" spans="1:6">
      <c r="A48" s="1269" t="s">
        <v>32</v>
      </c>
      <c r="B48" s="1269" t="s">
        <v>29</v>
      </c>
      <c r="C48" s="335">
        <v>2</v>
      </c>
      <c r="D48" s="335">
        <v>178565</v>
      </c>
      <c r="E48" s="335">
        <v>3</v>
      </c>
      <c r="F48" s="335">
        <v>20730</v>
      </c>
    </row>
    <row r="49" spans="1:6">
      <c r="A49" s="1269" t="s">
        <v>32</v>
      </c>
      <c r="B49" s="1269" t="s">
        <v>40</v>
      </c>
      <c r="C49" s="335">
        <v>0</v>
      </c>
      <c r="D49" s="335">
        <v>0</v>
      </c>
      <c r="E49" s="335">
        <v>0</v>
      </c>
      <c r="F49" s="335">
        <v>0</v>
      </c>
    </row>
    <row r="50" spans="1:6">
      <c r="A50" s="1269" t="s">
        <v>32</v>
      </c>
      <c r="B50" s="1269" t="s">
        <v>41</v>
      </c>
      <c r="C50" s="335">
        <v>0</v>
      </c>
      <c r="D50" s="335">
        <v>0</v>
      </c>
      <c r="E50" s="335">
        <v>6</v>
      </c>
      <c r="F50" s="335">
        <v>311934</v>
      </c>
    </row>
    <row r="51" spans="1:6">
      <c r="A51" s="1269" t="s">
        <v>42</v>
      </c>
      <c r="B51" s="1269" t="s">
        <v>43</v>
      </c>
      <c r="C51" s="335">
        <v>22</v>
      </c>
      <c r="D51" s="335">
        <v>269329319</v>
      </c>
      <c r="E51" s="335">
        <v>74</v>
      </c>
      <c r="F51" s="335">
        <v>2337768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34</v>
      </c>
      <c r="F54" s="335">
        <v>688630</v>
      </c>
    </row>
    <row r="55" spans="1:6">
      <c r="A55" s="1269" t="s">
        <v>46</v>
      </c>
      <c r="B55" s="1269" t="s">
        <v>29</v>
      </c>
      <c r="C55" s="335">
        <v>0</v>
      </c>
      <c r="D55" s="335">
        <v>0</v>
      </c>
      <c r="E55" s="335">
        <v>0</v>
      </c>
      <c r="F55" s="335">
        <v>0</v>
      </c>
    </row>
    <row r="56" spans="1:6">
      <c r="A56" s="1269" t="s">
        <v>48</v>
      </c>
      <c r="B56" s="1269" t="s">
        <v>29</v>
      </c>
      <c r="C56" s="335">
        <v>67</v>
      </c>
      <c r="D56" s="335">
        <v>2921397</v>
      </c>
      <c r="E56" s="335">
        <v>95</v>
      </c>
      <c r="F56" s="335">
        <v>736475</v>
      </c>
    </row>
    <row r="57" spans="1:6">
      <c r="A57" s="1269" t="s">
        <v>49</v>
      </c>
      <c r="B57" s="1269" t="s">
        <v>50</v>
      </c>
      <c r="C57" s="335">
        <v>20</v>
      </c>
      <c r="D57" s="335">
        <v>1700103</v>
      </c>
      <c r="E57" s="335">
        <v>47</v>
      </c>
      <c r="F57" s="335">
        <v>678619</v>
      </c>
    </row>
    <row r="58" spans="1:6">
      <c r="A58" s="1269" t="s">
        <v>49</v>
      </c>
      <c r="B58" s="1269" t="s">
        <v>51</v>
      </c>
      <c r="C58" s="335">
        <v>19</v>
      </c>
      <c r="D58" s="335">
        <v>8029792</v>
      </c>
      <c r="E58" s="335">
        <v>23</v>
      </c>
      <c r="F58" s="335">
        <v>1550656</v>
      </c>
    </row>
    <row r="59" spans="1:6">
      <c r="A59" s="1269" t="s">
        <v>49</v>
      </c>
      <c r="B59" s="1269" t="s">
        <v>52</v>
      </c>
      <c r="C59" s="335">
        <v>56</v>
      </c>
      <c r="D59" s="335">
        <v>3662737</v>
      </c>
      <c r="E59" s="335">
        <v>110</v>
      </c>
      <c r="F59" s="335">
        <v>2979181</v>
      </c>
    </row>
    <row r="60" spans="1:6">
      <c r="A60" s="1269" t="s">
        <v>49</v>
      </c>
      <c r="B60" s="1269" t="s">
        <v>53</v>
      </c>
      <c r="C60" s="335">
        <v>27</v>
      </c>
      <c r="D60" s="335">
        <v>2435818</v>
      </c>
      <c r="E60" s="335">
        <v>39</v>
      </c>
      <c r="F60" s="335">
        <v>2536943</v>
      </c>
    </row>
    <row r="61" spans="1:6">
      <c r="A61" s="1269" t="s">
        <v>49</v>
      </c>
      <c r="B61" s="1269" t="s">
        <v>54</v>
      </c>
      <c r="C61" s="335">
        <v>111</v>
      </c>
      <c r="D61" s="335">
        <v>6116582</v>
      </c>
      <c r="E61" s="335">
        <v>314</v>
      </c>
      <c r="F61" s="335">
        <v>3699757</v>
      </c>
    </row>
    <row r="62" spans="1:6">
      <c r="A62" s="1269" t="s">
        <v>49</v>
      </c>
      <c r="B62" s="1269" t="s">
        <v>55</v>
      </c>
      <c r="C62" s="335">
        <v>8</v>
      </c>
      <c r="D62" s="335">
        <v>1011441</v>
      </c>
      <c r="E62" s="335">
        <v>7</v>
      </c>
      <c r="F62" s="335">
        <v>103771</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12571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269484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48224756</v>
      </c>
      <c r="E73" s="335">
        <v>39949840.50195118</v>
      </c>
    </row>
    <row r="74" spans="1:6">
      <c r="A74" s="1269" t="s">
        <v>64</v>
      </c>
      <c r="B74" s="1269" t="s">
        <v>727</v>
      </c>
      <c r="C74" s="1269" t="s">
        <v>728</v>
      </c>
      <c r="D74" s="335">
        <v>4302815.3583585257</v>
      </c>
      <c r="E74" s="335">
        <v>3887585.1978464327</v>
      </c>
    </row>
    <row r="75" spans="1:6">
      <c r="A75" s="1269" t="s">
        <v>65</v>
      </c>
      <c r="B75" s="1269" t="s">
        <v>725</v>
      </c>
      <c r="C75" s="1269" t="s">
        <v>729</v>
      </c>
      <c r="D75" s="335">
        <v>5991805</v>
      </c>
      <c r="E75" s="335">
        <v>4986047.8472429849</v>
      </c>
    </row>
    <row r="76" spans="1:6">
      <c r="A76" s="1269" t="s">
        <v>65</v>
      </c>
      <c r="B76" s="1269" t="s">
        <v>727</v>
      </c>
      <c r="C76" s="1269" t="s">
        <v>730</v>
      </c>
      <c r="D76" s="335">
        <v>316758.35835852567</v>
      </c>
      <c r="E76" s="335">
        <v>270670.19900573377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387087.2832829486</v>
      </c>
      <c r="C83" s="335">
        <v>382417.03528552386</v>
      </c>
    </row>
    <row r="84" spans="1:6">
      <c r="A84" s="1265" t="s">
        <v>337</v>
      </c>
      <c r="B84" s="338">
        <v>207866.13492740598</v>
      </c>
      <c r="C84" s="338">
        <v>209136.90490936241</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1754.5528382942373</v>
      </c>
    </row>
    <row r="92" spans="1:6">
      <c r="A92" s="1265" t="s">
        <v>69</v>
      </c>
      <c r="B92" s="338">
        <v>361.3722270658775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2831</v>
      </c>
    </row>
    <row r="98" spans="1:6">
      <c r="A98" s="1269" t="s">
        <v>72</v>
      </c>
      <c r="B98" s="335">
        <v>2</v>
      </c>
    </row>
    <row r="99" spans="1:6">
      <c r="A99" s="1269" t="s">
        <v>73</v>
      </c>
      <c r="B99" s="335">
        <v>22</v>
      </c>
    </row>
    <row r="100" spans="1:6">
      <c r="A100" s="1269" t="s">
        <v>74</v>
      </c>
      <c r="B100" s="335">
        <v>329</v>
      </c>
    </row>
    <row r="101" spans="1:6">
      <c r="A101" s="1269" t="s">
        <v>75</v>
      </c>
      <c r="B101" s="335">
        <v>48</v>
      </c>
    </row>
    <row r="102" spans="1:6">
      <c r="A102" s="1269" t="s">
        <v>76</v>
      </c>
      <c r="B102" s="335">
        <v>62</v>
      </c>
    </row>
    <row r="103" spans="1:6">
      <c r="A103" s="1269" t="s">
        <v>77</v>
      </c>
      <c r="B103" s="335">
        <v>79</v>
      </c>
    </row>
    <row r="104" spans="1:6">
      <c r="A104" s="1269" t="s">
        <v>78</v>
      </c>
      <c r="B104" s="335">
        <v>886</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55</v>
      </c>
    </row>
    <row r="130" spans="1:6">
      <c r="A130" s="1269" t="s">
        <v>295</v>
      </c>
      <c r="B130" s="335">
        <v>2</v>
      </c>
    </row>
    <row r="131" spans="1:6">
      <c r="A131" s="1269" t="s">
        <v>296</v>
      </c>
      <c r="B131" s="335">
        <v>0</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65289.90940208215</v>
      </c>
      <c r="C3" s="43" t="s">
        <v>170</v>
      </c>
      <c r="D3" s="43"/>
      <c r="E3" s="156"/>
      <c r="F3" s="43"/>
      <c r="G3" s="43"/>
      <c r="H3" s="43"/>
      <c r="I3" s="43"/>
      <c r="J3" s="43"/>
      <c r="K3" s="96"/>
    </row>
    <row r="4" spans="1:11">
      <c r="A4" s="366" t="s">
        <v>171</v>
      </c>
      <c r="B4" s="49">
        <f>IF(ISERROR('SEAP template'!B69),0,'SEAP template'!B69)</f>
        <v>108648.92506536012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25317.254117647059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0.23301891024155935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36167.505882352947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152190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0.23301891024155935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160.46381215964502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20614.87</v>
      </c>
      <c r="C5" s="17">
        <f>IF(ISERROR('Eigen informatie GS &amp; warmtenet'!B57),0,'Eigen informatie GS &amp; warmtenet'!B57)</f>
        <v>0</v>
      </c>
      <c r="D5" s="30">
        <f>(SUM(HH_hh_gas_kWh,HH_rest_gas_kWh)/1000)*0.902</f>
        <v>66608.162940000009</v>
      </c>
      <c r="E5" s="17">
        <f>B46*B57</f>
        <v>1100.6903067948963</v>
      </c>
      <c r="F5" s="17">
        <f>B51*B62</f>
        <v>0</v>
      </c>
      <c r="G5" s="18"/>
      <c r="H5" s="17"/>
      <c r="I5" s="17"/>
      <c r="J5" s="17">
        <f>B50*B61+C50*C61</f>
        <v>0</v>
      </c>
      <c r="K5" s="17"/>
      <c r="L5" s="17"/>
      <c r="M5" s="17"/>
      <c r="N5" s="17">
        <f>B48*B59+C48*C59</f>
        <v>9003.072044546765</v>
      </c>
      <c r="O5" s="17">
        <f>B69*B70*B71</f>
        <v>103.17999999999999</v>
      </c>
      <c r="P5" s="17">
        <f>B77*B78*B79/1000-B77*B78*B79/1000/B80</f>
        <v>400.4</v>
      </c>
    </row>
    <row r="6" spans="1:16">
      <c r="A6" s="16" t="s">
        <v>634</v>
      </c>
      <c r="B6" s="831">
        <f>kWh_PV_kleiner_dan_10kW</f>
        <v>1754.5528382942373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22369.422838294235</v>
      </c>
      <c r="C8" s="21">
        <f>C5</f>
        <v>0</v>
      </c>
      <c r="D8" s="21">
        <f>D5</f>
        <v>66608.162940000009</v>
      </c>
      <c r="E8" s="21">
        <f>E5</f>
        <v>1100.6903067948963</v>
      </c>
      <c r="F8" s="21">
        <f>F5</f>
        <v>0</v>
      </c>
      <c r="G8" s="21"/>
      <c r="H8" s="21"/>
      <c r="I8" s="21"/>
      <c r="J8" s="21">
        <f>J5</f>
        <v>0</v>
      </c>
      <c r="K8" s="21"/>
      <c r="L8" s="21">
        <f>L5</f>
        <v>0</v>
      </c>
      <c r="M8" s="21">
        <f>M5</f>
        <v>0</v>
      </c>
      <c r="N8" s="21">
        <f>N5</f>
        <v>9003.072044546765</v>
      </c>
      <c r="O8" s="21">
        <f>O5</f>
        <v>103.17999999999999</v>
      </c>
      <c r="P8" s="21">
        <f>P5</f>
        <v>400.4</v>
      </c>
    </row>
    <row r="9" spans="1:16">
      <c r="B9" s="19"/>
      <c r="C9" s="19"/>
      <c r="D9" s="261"/>
      <c r="E9" s="19"/>
      <c r="F9" s="19"/>
      <c r="G9" s="19"/>
      <c r="H9" s="19"/>
      <c r="I9" s="19"/>
      <c r="J9" s="19"/>
      <c r="K9" s="19"/>
      <c r="L9" s="19"/>
      <c r="M9" s="19"/>
      <c r="N9" s="19"/>
      <c r="O9" s="19"/>
      <c r="P9" s="19"/>
    </row>
    <row r="10" spans="1:16">
      <c r="A10" s="24" t="s">
        <v>214</v>
      </c>
      <c r="B10" s="25">
        <f ca="1">'EF ele_warmte'!B12</f>
        <v>0.23301891024155935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5212.4985325119724</v>
      </c>
      <c r="C12" s="23">
        <f ca="1">C10*C8</f>
        <v>0</v>
      </c>
      <c r="D12" s="23">
        <f>D8*D10</f>
        <v>13454.848913880003</v>
      </c>
      <c r="E12" s="23">
        <f>E10*E8</f>
        <v>249.85669964244147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2831</v>
      </c>
      <c r="C18" s="168" t="s">
        <v>111</v>
      </c>
      <c r="D18" s="230"/>
      <c r="E18" s="15"/>
    </row>
    <row r="19" spans="1:7">
      <c r="A19" s="173" t="s">
        <v>72</v>
      </c>
      <c r="B19" s="37">
        <f>aantalw2001_ander</f>
        <v>2</v>
      </c>
      <c r="C19" s="168" t="s">
        <v>111</v>
      </c>
      <c r="D19" s="231"/>
      <c r="E19" s="15"/>
    </row>
    <row r="20" spans="1:7">
      <c r="A20" s="173" t="s">
        <v>73</v>
      </c>
      <c r="B20" s="37">
        <f>aantalw2001_propaan</f>
        <v>22</v>
      </c>
      <c r="C20" s="169">
        <f>IF(ISERROR(B20/SUM($B$20,$B$21,$B$22)*100),0,B20/SUM($B$20,$B$21,$B$22)*100)</f>
        <v>5.5137844611528823</v>
      </c>
      <c r="D20" s="231"/>
      <c r="E20" s="15"/>
    </row>
    <row r="21" spans="1:7">
      <c r="A21" s="173" t="s">
        <v>74</v>
      </c>
      <c r="B21" s="37">
        <f>aantalw2001_elektriciteit</f>
        <v>329</v>
      </c>
      <c r="C21" s="169">
        <f>IF(ISERROR(B21/SUM($B$20,$B$21,$B$22)*100),0,B21/SUM($B$20,$B$21,$B$22)*100)</f>
        <v>82.456140350877192</v>
      </c>
      <c r="D21" s="231"/>
      <c r="E21" s="15"/>
    </row>
    <row r="22" spans="1:7">
      <c r="A22" s="173" t="s">
        <v>75</v>
      </c>
      <c r="B22" s="37">
        <f>aantalw2001_hout</f>
        <v>48</v>
      </c>
      <c r="C22" s="169">
        <f>IF(ISERROR(B22/SUM($B$20,$B$21,$B$22)*100),0,B22/SUM($B$20,$B$21,$B$22)*100)</f>
        <v>12.030075187969924</v>
      </c>
      <c r="D22" s="231"/>
      <c r="E22" s="15"/>
    </row>
    <row r="23" spans="1:7">
      <c r="A23" s="173" t="s">
        <v>76</v>
      </c>
      <c r="B23" s="37">
        <f>aantalw2001_niet_gespec</f>
        <v>62</v>
      </c>
      <c r="C23" s="168" t="s">
        <v>111</v>
      </c>
      <c r="D23" s="230"/>
      <c r="E23" s="15"/>
    </row>
    <row r="24" spans="1:7">
      <c r="A24" s="173" t="s">
        <v>77</v>
      </c>
      <c r="B24" s="37">
        <f>aantalw2001_steenkool</f>
        <v>79</v>
      </c>
      <c r="C24" s="168" t="s">
        <v>111</v>
      </c>
      <c r="D24" s="231"/>
      <c r="E24" s="15"/>
    </row>
    <row r="25" spans="1:7">
      <c r="A25" s="173" t="s">
        <v>78</v>
      </c>
      <c r="B25" s="37">
        <f>aantalw2001_stookolie</f>
        <v>886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5013</v>
      </c>
      <c r="C28" s="36"/>
      <c r="D28" s="230"/>
    </row>
    <row r="29" spans="1:7" s="15" customFormat="1">
      <c r="A29" s="232" t="s">
        <v>746</v>
      </c>
      <c r="B29" s="37">
        <f>SUM(HH_hh_gas_aantal,HH_rest_gas_aantal)</f>
        <v>4034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4034</v>
      </c>
      <c r="C32" s="169">
        <f>IF(ISERROR(B32/SUM($B$32,$B$34,$B$35,$B$36,$B$38,$B$39)*100),0,B32/SUM($B$32,$B$34,$B$35,$B$36,$B$38,$B$39)*100)</f>
        <v>80.809294871794862</v>
      </c>
      <c r="D32" s="235"/>
      <c r="G32" s="15"/>
    </row>
    <row r="33" spans="1:7">
      <c r="A33" s="173" t="s">
        <v>72</v>
      </c>
      <c r="B33" s="34" t="s">
        <v>111</v>
      </c>
      <c r="C33" s="169"/>
      <c r="D33" s="235"/>
      <c r="G33" s="15"/>
    </row>
    <row r="34" spans="1:7">
      <c r="A34" s="173" t="s">
        <v>73</v>
      </c>
      <c r="B34" s="33">
        <f>IF((($B$28-$B$32-$B$39-$B$77-$B$38)*C20/100)&lt;0,0,($B$28-$B$32-$B$39-$B$77-$B$38)*C20/100)</f>
        <v>52.822055137844607</v>
      </c>
      <c r="C34" s="169">
        <f>IF(ISERROR(B34/SUM($B$32,$B$34,$B$35,$B$36,$B$38,$B$39)*100),0,B34/SUM($B$32,$B$34,$B$35,$B$36,$B$38,$B$39)*100)</f>
        <v>1.0581341173446435</v>
      </c>
      <c r="D34" s="235"/>
      <c r="G34" s="15"/>
    </row>
    <row r="35" spans="1:7">
      <c r="A35" s="173" t="s">
        <v>74</v>
      </c>
      <c r="B35" s="33">
        <f>IF((($B$28-$B$32-$B$39-$B$77-$B$38)*C21/100)&lt;0,0,($B$28-$B$32-$B$39-$B$77-$B$38)*C21/100)</f>
        <v>789.92982456140351</v>
      </c>
      <c r="C35" s="169">
        <f>IF(ISERROR(B35/SUM($B$32,$B$34,$B$35,$B$36,$B$38,$B$39)*100),0,B35/SUM($B$32,$B$34,$B$35,$B$36,$B$38,$B$39)*100)</f>
        <v>15.823914754835808</v>
      </c>
      <c r="D35" s="235"/>
      <c r="G35" s="15"/>
    </row>
    <row r="36" spans="1:7">
      <c r="A36" s="173" t="s">
        <v>75</v>
      </c>
      <c r="B36" s="33">
        <f>IF((($B$28-$B$32-$B$39-$B$77-$B$38)*C22/100)&lt;0,0,($B$28-$B$32-$B$39-$B$77-$B$38)*C22/100)</f>
        <v>115.24812030075186</v>
      </c>
      <c r="C36" s="169">
        <f>IF(ISERROR(B36/SUM($B$32,$B$34,$B$35,$B$36,$B$38,$B$39)*100),0,B36/SUM($B$32,$B$34,$B$35,$B$36,$B$38,$B$39)*100)</f>
        <v>2.3086562560246766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4034</v>
      </c>
      <c r="C44" s="34" t="s">
        <v>111</v>
      </c>
      <c r="D44" s="176"/>
    </row>
    <row r="45" spans="1:7">
      <c r="A45" s="173" t="s">
        <v>72</v>
      </c>
      <c r="B45" s="33" t="str">
        <f t="shared" si="0"/>
        <v>-</v>
      </c>
      <c r="C45" s="34" t="s">
        <v>111</v>
      </c>
      <c r="D45" s="176"/>
    </row>
    <row r="46" spans="1:7">
      <c r="A46" s="173" t="s">
        <v>73</v>
      </c>
      <c r="B46" s="33">
        <f t="shared" si="0"/>
        <v>52.822055137844607</v>
      </c>
      <c r="C46" s="34" t="s">
        <v>111</v>
      </c>
      <c r="D46" s="176"/>
    </row>
    <row r="47" spans="1:7">
      <c r="A47" s="173" t="s">
        <v>74</v>
      </c>
      <c r="B47" s="33">
        <f t="shared" si="0"/>
        <v>789.92982456140351</v>
      </c>
      <c r="C47" s="34" t="s">
        <v>111</v>
      </c>
      <c r="D47" s="176"/>
    </row>
    <row r="48" spans="1:7">
      <c r="A48" s="173" t="s">
        <v>75</v>
      </c>
      <c r="B48" s="33">
        <f t="shared" si="0"/>
        <v>115.24812030075186</v>
      </c>
      <c r="C48" s="33">
        <f>B48*10</f>
        <v>1152.4812030075186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11548.927000000001</v>
      </c>
      <c r="C5" s="17">
        <f>IF(ISERROR('Eigen informatie GS &amp; warmtenet'!B58),0,'Eigen informatie GS &amp; warmtenet'!B58)</f>
        <v>0</v>
      </c>
      <c r="D5" s="30">
        <f>SUM(D6:D12)</f>
        <v>20706.738645999998</v>
      </c>
      <c r="E5" s="17">
        <f>SUM(E6:E12)</f>
        <v>205.09475157903319</v>
      </c>
      <c r="F5" s="17">
        <f>SUM(F6:F12)</f>
        <v>2304.569979228691</v>
      </c>
      <c r="G5" s="18"/>
      <c r="H5" s="17"/>
      <c r="I5" s="17"/>
      <c r="J5" s="17">
        <f>SUM(J6:J12)</f>
        <v>0</v>
      </c>
      <c r="K5" s="17"/>
      <c r="L5" s="17"/>
      <c r="M5" s="17"/>
      <c r="N5" s="17">
        <f>SUM(N6:N12)</f>
        <v>499.99214292651089</v>
      </c>
      <c r="O5" s="17">
        <f>B38*B39*B40</f>
        <v>3.1266666666666669</v>
      </c>
      <c r="P5" s="17">
        <f>B46*B47*B48/1000-B46*B47*B48/1000/B49</f>
        <v>0</v>
      </c>
      <c r="R5" s="32"/>
    </row>
    <row r="6" spans="1:18">
      <c r="A6" s="32" t="s">
        <v>54</v>
      </c>
      <c r="B6" s="37">
        <f>B26</f>
        <v>3699.7570000000001</v>
      </c>
      <c r="C6" s="33"/>
      <c r="D6" s="37">
        <f>IF(ISERROR(TER_kantoor_gas_kWh/1000),0,TER_kantoor_gas_kWh/1000)*0.902</f>
        <v>5517.1569640000007</v>
      </c>
      <c r="E6" s="33">
        <f>$C$26*'E Balans VL '!I12/100/3.6*1000000</f>
        <v>14.374339229194829</v>
      </c>
      <c r="F6" s="33">
        <f>$C$26*('E Balans VL '!L12+'E Balans VL '!N12)/100/3.6*1000000</f>
        <v>562.69937459531502</v>
      </c>
      <c r="G6" s="34"/>
      <c r="H6" s="33"/>
      <c r="I6" s="33"/>
      <c r="J6" s="33">
        <f>$C$26*('E Balans VL '!D12+'E Balans VL '!E12)/100/3.6*1000000</f>
        <v>0</v>
      </c>
      <c r="K6" s="33"/>
      <c r="L6" s="33"/>
      <c r="M6" s="33"/>
      <c r="N6" s="33">
        <f>$C$26*'E Balans VL '!Y12/100/3.6*1000000</f>
        <v>2.0390093269734466</v>
      </c>
      <c r="O6" s="33"/>
      <c r="P6" s="33"/>
      <c r="R6" s="32"/>
    </row>
    <row r="7" spans="1:18">
      <c r="A7" s="32" t="s">
        <v>53</v>
      </c>
      <c r="B7" s="37">
        <f t="shared" ref="B7:B12" si="0">B27</f>
        <v>2536.9430000000002</v>
      </c>
      <c r="C7" s="33"/>
      <c r="D7" s="37">
        <f>IF(ISERROR(TER_horeca_gas_kWh/1000),0,TER_horeca_gas_kWh/1000)*0.902</f>
        <v>2197.1078360000001</v>
      </c>
      <c r="E7" s="33">
        <f>$C$27*'E Balans VL '!I9/100/3.6*1000000</f>
        <v>142.90667745618137</v>
      </c>
      <c r="F7" s="33">
        <f>$C$27*('E Balans VL '!L9+'E Balans VL '!N9)/100/3.6*1000000</f>
        <v>731.50247752314294</v>
      </c>
      <c r="G7" s="34"/>
      <c r="H7" s="33"/>
      <c r="I7" s="33"/>
      <c r="J7" s="33">
        <f>$C$27*('E Balans VL '!D9+'E Balans VL '!E9)/100/3.6*1000000</f>
        <v>0</v>
      </c>
      <c r="K7" s="33"/>
      <c r="L7" s="33"/>
      <c r="M7" s="33"/>
      <c r="N7" s="33">
        <f>$C$27*'E Balans VL '!Y9/100/3.6*1000000</f>
        <v>0.70043677910380564</v>
      </c>
      <c r="O7" s="33"/>
      <c r="P7" s="33"/>
      <c r="R7" s="32"/>
    </row>
    <row r="8" spans="1:18">
      <c r="A8" s="6" t="s">
        <v>52</v>
      </c>
      <c r="B8" s="37">
        <f t="shared" si="0"/>
        <v>2979.181</v>
      </c>
      <c r="C8" s="33"/>
      <c r="D8" s="37">
        <f>IF(ISERROR(TER_handel_gas_kWh/1000),0,TER_handel_gas_kWh/1000)*0.902</f>
        <v>3303.7887740000001</v>
      </c>
      <c r="E8" s="33">
        <f>$C$28*'E Balans VL '!I13/100/3.6*1000000</f>
        <v>42.94010556569696</v>
      </c>
      <c r="F8" s="33">
        <f>$C$28*('E Balans VL '!L13+'E Balans VL '!N13)/100/3.6*1000000</f>
        <v>517.55312014377728</v>
      </c>
      <c r="G8" s="34"/>
      <c r="H8" s="33"/>
      <c r="I8" s="33"/>
      <c r="J8" s="33">
        <f>$C$28*('E Balans VL '!D13+'E Balans VL '!E13)/100/3.6*1000000</f>
        <v>0</v>
      </c>
      <c r="K8" s="33"/>
      <c r="L8" s="33"/>
      <c r="M8" s="33"/>
      <c r="N8" s="33">
        <f>$C$28*'E Balans VL '!Y13/100/3.6*1000000</f>
        <v>8.9259579252609456</v>
      </c>
      <c r="O8" s="33"/>
      <c r="P8" s="33"/>
      <c r="R8" s="32"/>
    </row>
    <row r="9" spans="1:18">
      <c r="A9" s="32" t="s">
        <v>51</v>
      </c>
      <c r="B9" s="37">
        <f t="shared" si="0"/>
        <v>1550.6559999999999</v>
      </c>
      <c r="C9" s="33"/>
      <c r="D9" s="37">
        <f>IF(ISERROR(TER_gezond_gas_kWh/1000),0,TER_gezond_gas_kWh/1000)*0.902</f>
        <v>7242.8723840000002</v>
      </c>
      <c r="E9" s="33">
        <f>$C$29*'E Balans VL '!I10/100/3.6*1000000</f>
        <v>1.6565025232753294</v>
      </c>
      <c r="F9" s="33">
        <f>$C$29*('E Balans VL '!L10+'E Balans VL '!N10)/100/3.6*1000000</f>
        <v>252.95911980426214</v>
      </c>
      <c r="G9" s="34"/>
      <c r="H9" s="33"/>
      <c r="I9" s="33"/>
      <c r="J9" s="33">
        <f>$C$29*('E Balans VL '!D10+'E Balans VL '!E10)/100/3.6*1000000</f>
        <v>0</v>
      </c>
      <c r="K9" s="33"/>
      <c r="L9" s="33"/>
      <c r="M9" s="33"/>
      <c r="N9" s="33">
        <f>$C$29*'E Balans VL '!Y10/100/3.6*1000000</f>
        <v>15.963118733338167</v>
      </c>
      <c r="O9" s="33"/>
      <c r="P9" s="33"/>
      <c r="R9" s="32"/>
    </row>
    <row r="10" spans="1:18">
      <c r="A10" s="32" t="s">
        <v>50</v>
      </c>
      <c r="B10" s="37">
        <f t="shared" si="0"/>
        <v>678.61900000000003</v>
      </c>
      <c r="C10" s="33"/>
      <c r="D10" s="37">
        <f>IF(ISERROR(TER_ander_gas_kWh/1000),0,TER_ander_gas_kWh/1000)*0.902</f>
        <v>1533.4929060000002</v>
      </c>
      <c r="E10" s="33">
        <f>$C$30*'E Balans VL '!I14/100/3.6*1000000</f>
        <v>3.1208655553872875</v>
      </c>
      <c r="F10" s="33">
        <f>$C$30*('E Balans VL '!L14+'E Balans VL '!N14)/100/3.6*1000000</f>
        <v>203.40351986715592</v>
      </c>
      <c r="G10" s="34"/>
      <c r="H10" s="33"/>
      <c r="I10" s="33"/>
      <c r="J10" s="33">
        <f>$C$30*('E Balans VL '!D14+'E Balans VL '!E14)/100/3.6*1000000</f>
        <v>0</v>
      </c>
      <c r="K10" s="33"/>
      <c r="L10" s="33"/>
      <c r="M10" s="33"/>
      <c r="N10" s="33">
        <f>$C$30*'E Balans VL '!Y14/100/3.6*1000000</f>
        <v>472.36362016183455</v>
      </c>
      <c r="O10" s="33"/>
      <c r="P10" s="33"/>
      <c r="R10" s="32"/>
    </row>
    <row r="11" spans="1:18">
      <c r="A11" s="32" t="s">
        <v>55</v>
      </c>
      <c r="B11" s="37">
        <f t="shared" si="0"/>
        <v>103.771</v>
      </c>
      <c r="C11" s="33"/>
      <c r="D11" s="37">
        <f>IF(ISERROR(TER_onderwijs_gas_kWh/1000),0,TER_onderwijs_gas_kWh/1000)*0.902</f>
        <v>912.31978200000003</v>
      </c>
      <c r="E11" s="33">
        <f>$C$31*'E Balans VL '!I11/100/3.6*1000000</f>
        <v>9.6261249297425008E-2</v>
      </c>
      <c r="F11" s="33">
        <f>$C$31*('E Balans VL '!L11+'E Balans VL '!N11)/100/3.6*1000000</f>
        <v>36.452367295037817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18634.5</v>
      </c>
      <c r="C13" s="249">
        <f ca="1">'lokale energieproductie'!O90+'lokale energieproductie'!O59</f>
        <v>26620.714285714286</v>
      </c>
      <c r="D13" s="312">
        <f ca="1">('lokale energieproductie'!P59+'lokale energieproductie'!P90)*(-1)</f>
        <v>-53241.428571428572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30183.427000000003</v>
      </c>
      <c r="C16" s="21">
        <f t="shared" ca="1" si="1"/>
        <v>26620.714285714286</v>
      </c>
      <c r="D16" s="21">
        <f t="shared" ca="1" si="1"/>
        <v>0</v>
      </c>
      <c r="E16" s="21">
        <f t="shared" si="1"/>
        <v>205.09475157903319</v>
      </c>
      <c r="F16" s="21">
        <f t="shared" ca="1" si="1"/>
        <v>2304.569979228691</v>
      </c>
      <c r="G16" s="21">
        <f t="shared" si="1"/>
        <v>0</v>
      </c>
      <c r="H16" s="21">
        <f t="shared" si="1"/>
        <v>0</v>
      </c>
      <c r="I16" s="21">
        <f t="shared" si="1"/>
        <v>0</v>
      </c>
      <c r="J16" s="21">
        <f t="shared" si="1"/>
        <v>0</v>
      </c>
      <c r="K16" s="21">
        <f t="shared" si="1"/>
        <v>0</v>
      </c>
      <c r="L16" s="21">
        <f t="shared" ca="1" si="1"/>
        <v>0</v>
      </c>
      <c r="M16" s="21">
        <f t="shared" si="1"/>
        <v>0</v>
      </c>
      <c r="N16" s="21">
        <f t="shared" ca="1" si="1"/>
        <v>499.99214292651089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0.23301891024155935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7033.3092668956597</v>
      </c>
      <c r="C20" s="23">
        <f t="shared" ref="C20:P20" ca="1" si="2">C16*C18</f>
        <v>6326.3344537815137</v>
      </c>
      <c r="D20" s="23">
        <f t="shared" ca="1" si="2"/>
        <v>0</v>
      </c>
      <c r="E20" s="23">
        <f t="shared" si="2"/>
        <v>46.556508608440538</v>
      </c>
      <c r="F20" s="23">
        <f t="shared" ca="1" si="2"/>
        <v>615.3201844540605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3699.7570000000001</v>
      </c>
      <c r="C26" s="39">
        <f>IF(ISERROR(B26*3.6/1000000/'E Balans VL '!Z12*100),0,B26*3.6/1000000/'E Balans VL '!Z12*100)</f>
        <v>7.8584671301380277E-2</v>
      </c>
      <c r="D26" s="239" t="s">
        <v>692</v>
      </c>
      <c r="F26" s="6"/>
    </row>
    <row r="27" spans="1:18">
      <c r="A27" s="233" t="s">
        <v>53</v>
      </c>
      <c r="B27" s="33">
        <f>IF(ISERROR(TER_horeca_ele_kWh/1000),0,TER_horeca_ele_kWh/1000)</f>
        <v>2536.9430000000002</v>
      </c>
      <c r="C27" s="39">
        <f>IF(ISERROR(B27*3.6/1000000/'E Balans VL '!Z9*100),0,B27*3.6/1000000/'E Balans VL '!Z9*100)</f>
        <v>0.19726276843150195</v>
      </c>
      <c r="D27" s="239" t="s">
        <v>692</v>
      </c>
      <c r="F27" s="6"/>
    </row>
    <row r="28" spans="1:18">
      <c r="A28" s="173" t="s">
        <v>52</v>
      </c>
      <c r="B28" s="33">
        <f>IF(ISERROR(TER_handel_ele_kWh/1000),0,TER_handel_ele_kWh/1000)</f>
        <v>2979.181</v>
      </c>
      <c r="C28" s="39">
        <f>IF(ISERROR(B28*3.6/1000000/'E Balans VL '!Z13*100),0,B28*3.6/1000000/'E Balans VL '!Z13*100)</f>
        <v>8.5237874555299478E-2</v>
      </c>
      <c r="D28" s="239" t="s">
        <v>692</v>
      </c>
      <c r="F28" s="6"/>
    </row>
    <row r="29" spans="1:18">
      <c r="A29" s="233" t="s">
        <v>51</v>
      </c>
      <c r="B29" s="33">
        <f>IF(ISERROR(TER_gezond_ele_kWh/1000),0,TER_gezond_ele_kWh/1000)</f>
        <v>1550.6559999999999</v>
      </c>
      <c r="C29" s="39">
        <f>IF(ISERROR(B29*3.6/1000000/'E Balans VL '!Z10*100),0,B29*3.6/1000000/'E Balans VL '!Z10*100)</f>
        <v>0.16905753692394565</v>
      </c>
      <c r="D29" s="239" t="s">
        <v>692</v>
      </c>
      <c r="F29" s="6"/>
    </row>
    <row r="30" spans="1:18">
      <c r="A30" s="233" t="s">
        <v>50</v>
      </c>
      <c r="B30" s="33">
        <f>IF(ISERROR(TER_ander_ele_kWh/1000),0,TER_ander_ele_kWh/1000)</f>
        <v>678.61900000000003</v>
      </c>
      <c r="C30" s="39">
        <f>IF(ISERROR(B30*3.6/1000000/'E Balans VL '!Z14*100),0,B30*3.6/1000000/'E Balans VL '!Z14*100)</f>
        <v>4.9659799009290913E-2</v>
      </c>
      <c r="D30" s="239" t="s">
        <v>692</v>
      </c>
      <c r="F30" s="6"/>
    </row>
    <row r="31" spans="1:18">
      <c r="A31" s="233" t="s">
        <v>55</v>
      </c>
      <c r="B31" s="33">
        <f>IF(ISERROR(TER_onderwijs_ele_kWh/1000),0,TER_onderwijs_ele_kWh/1000)</f>
        <v>103.771</v>
      </c>
      <c r="C31" s="39">
        <f>IF(ISERROR(B31*3.6/1000000/'E Balans VL '!Z11*100),0,B31*3.6/1000000/'E Balans VL '!Z11*100)</f>
        <v>2.0842482408219724E-2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8974.973</v>
      </c>
      <c r="C5" s="17">
        <f>IF(ISERROR('Eigen informatie GS &amp; warmtenet'!B59),0,'Eigen informatie GS &amp; warmtenet'!B59)</f>
        <v>0</v>
      </c>
      <c r="D5" s="30">
        <f>SUM(D6:D15)</f>
        <v>2156.9787579999997</v>
      </c>
      <c r="E5" s="17">
        <f>SUM(E6:E15)</f>
        <v>757.28892975832582</v>
      </c>
      <c r="F5" s="17">
        <f>SUM(F6:F15)</f>
        <v>2579.589946524452</v>
      </c>
      <c r="G5" s="18"/>
      <c r="H5" s="17"/>
      <c r="I5" s="17"/>
      <c r="J5" s="17">
        <f>SUM(J6:J15)</f>
        <v>5.7258801814433914E-2</v>
      </c>
      <c r="K5" s="17"/>
      <c r="L5" s="17"/>
      <c r="M5" s="17"/>
      <c r="N5" s="17">
        <f>SUM(N6:N15)</f>
        <v>13978.025402552177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67.8</v>
      </c>
      <c r="C8" s="33"/>
      <c r="D8" s="37">
        <f>IF( ISERROR(IND_metaal_Gas_kWH/1000),0,IND_metaal_Gas_kWH/1000)*0.902</f>
        <v>64.54261000000001</v>
      </c>
      <c r="E8" s="33">
        <f>C30*'E Balans VL '!I18/100/3.6*1000000</f>
        <v>1.9474704899795361</v>
      </c>
      <c r="F8" s="33">
        <f>C30*'E Balans VL '!L18/100/3.6*1000000+C30*'E Balans VL '!N18/100/3.6*1000000</f>
        <v>17.389396018603158</v>
      </c>
      <c r="G8" s="34"/>
      <c r="H8" s="33"/>
      <c r="I8" s="33"/>
      <c r="J8" s="40">
        <f>C30*'E Balans VL '!D18/100/3.6*1000000+C30*'E Balans VL '!E18/100/3.6*1000000</f>
        <v>0</v>
      </c>
      <c r="K8" s="33"/>
      <c r="L8" s="33"/>
      <c r="M8" s="33"/>
      <c r="N8" s="33">
        <f>C30*'E Balans VL '!Y18/100/3.6*1000000</f>
        <v>1.8409083994081124</v>
      </c>
      <c r="O8" s="33"/>
      <c r="P8" s="33"/>
      <c r="R8" s="32"/>
    </row>
    <row r="9" spans="1:18">
      <c r="A9" s="6" t="s">
        <v>33</v>
      </c>
      <c r="B9" s="37">
        <f t="shared" si="0"/>
        <v>2455.4679999999998</v>
      </c>
      <c r="C9" s="33"/>
      <c r="D9" s="37">
        <f>IF( ISERROR(IND_andere_gas_kWh/1000),0,IND_andere_gas_kWh/1000)*0.902</f>
        <v>359.24224600000002</v>
      </c>
      <c r="E9" s="33">
        <f>C31*'E Balans VL '!I19/100/3.6*1000000</f>
        <v>664.63481490897072</v>
      </c>
      <c r="F9" s="33">
        <f>C31*'E Balans VL '!L19/100/3.6*1000000+C31*'E Balans VL '!N19/100/3.6*1000000</f>
        <v>1635.6015307930261</v>
      </c>
      <c r="G9" s="34"/>
      <c r="H9" s="33"/>
      <c r="I9" s="33"/>
      <c r="J9" s="40">
        <f>C31*'E Balans VL '!D19/100/3.6*1000000+C31*'E Balans VL '!E19/100/3.6*1000000</f>
        <v>0</v>
      </c>
      <c r="K9" s="33"/>
      <c r="L9" s="33"/>
      <c r="M9" s="33"/>
      <c r="N9" s="33">
        <f>C31*'E Balans VL '!Y19/100/3.6*1000000</f>
        <v>801.66951318454846</v>
      </c>
      <c r="O9" s="33"/>
      <c r="P9" s="33"/>
      <c r="R9" s="32"/>
    </row>
    <row r="10" spans="1:18">
      <c r="A10" s="6" t="s">
        <v>41</v>
      </c>
      <c r="B10" s="37">
        <f t="shared" si="0"/>
        <v>311.93400000000003</v>
      </c>
      <c r="C10" s="33"/>
      <c r="D10" s="37">
        <f>IF( ISERROR(IND_voed_gas_kWh/1000),0,IND_voed_gas_kWh/1000)*0.902</f>
        <v>0</v>
      </c>
      <c r="E10" s="33">
        <f>C32*'E Balans VL '!I20/100/3.6*1000000</f>
        <v>25.442053689716808</v>
      </c>
      <c r="F10" s="33">
        <f>C32*'E Balans VL '!L20/100/3.6*1000000+C32*'E Balans VL '!N20/100/3.6*1000000</f>
        <v>465.12189513226178</v>
      </c>
      <c r="G10" s="34"/>
      <c r="H10" s="33"/>
      <c r="I10" s="33"/>
      <c r="J10" s="40">
        <f>C32*'E Balans VL '!D20/100/3.6*1000000+C32*'E Balans VL '!E20/100/3.6*1000000</f>
        <v>4.1265081829183967E-3</v>
      </c>
      <c r="K10" s="33"/>
      <c r="L10" s="33"/>
      <c r="M10" s="33"/>
      <c r="N10" s="33">
        <f>C32*'E Balans VL '!Y20/100/3.6*1000000</f>
        <v>91.635202235997369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6119.0410000000002</v>
      </c>
      <c r="C13" s="33"/>
      <c r="D13" s="37">
        <f>IF( ISERROR(IND_papier_gas_kWh/1000),0,IND_papier_gas_kWh/1000)*0.902</f>
        <v>1572.1282719999999</v>
      </c>
      <c r="E13" s="33">
        <f>C35*'E Balans VL '!I23/100/3.6*1000000</f>
        <v>64.108102007254317</v>
      </c>
      <c r="F13" s="33">
        <f>C35*'E Balans VL '!L23/100/3.6*1000000+C35*'E Balans VL '!N23/100/3.6*1000000</f>
        <v>456.603923995743</v>
      </c>
      <c r="G13" s="34"/>
      <c r="H13" s="33"/>
      <c r="I13" s="33"/>
      <c r="J13" s="40">
        <f>C35*'E Balans VL '!D23/100/3.6*1000000+C35*'E Balans VL '!E23/100/3.6*1000000</f>
        <v>0</v>
      </c>
      <c r="K13" s="33"/>
      <c r="L13" s="33"/>
      <c r="M13" s="33"/>
      <c r="N13" s="33">
        <f>C35*'E Balans VL '!Y23/100/3.6*1000000</f>
        <v>13078.811451406227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20.73</v>
      </c>
      <c r="C15" s="33"/>
      <c r="D15" s="37">
        <f>IF( ISERROR(IND_rest_gas_kWh/1000),0,IND_rest_gas_kWh/1000)*0.902</f>
        <v>161.06563</v>
      </c>
      <c r="E15" s="33">
        <f>C37*'E Balans VL '!I15/100/3.6*1000000</f>
        <v>1.1564886624044699</v>
      </c>
      <c r="F15" s="33">
        <f>C37*'E Balans VL '!L15/100/3.6*1000000+C37*'E Balans VL '!N15/100/3.6*1000000</f>
        <v>4.873200584817643</v>
      </c>
      <c r="G15" s="34"/>
      <c r="H15" s="33"/>
      <c r="I15" s="33"/>
      <c r="J15" s="40">
        <f>C37*'E Balans VL '!D15/100/3.6*1000000+C37*'E Balans VL '!E15/100/3.6*1000000</f>
        <v>5.3132293631515518E-2</v>
      </c>
      <c r="K15" s="33"/>
      <c r="L15" s="33"/>
      <c r="M15" s="33"/>
      <c r="N15" s="33">
        <f>C37*'E Balans VL '!Y15/100/3.6*1000000</f>
        <v>4.0683273259969983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8974.973</v>
      </c>
      <c r="C18" s="21">
        <f>C5+C16</f>
        <v>0</v>
      </c>
      <c r="D18" s="21">
        <f>MAX((D5+D16),0)</f>
        <v>2156.9787579999997</v>
      </c>
      <c r="E18" s="21">
        <f>MAX((E5+E16),0)</f>
        <v>757.28892975832582</v>
      </c>
      <c r="F18" s="21">
        <f>MAX((F5+F16),0)</f>
        <v>2579.589946524452</v>
      </c>
      <c r="G18" s="21"/>
      <c r="H18" s="21"/>
      <c r="I18" s="21"/>
      <c r="J18" s="21">
        <f>MAX((J5+J16),0)</f>
        <v>5.7258801814433914E-2</v>
      </c>
      <c r="K18" s="21"/>
      <c r="L18" s="21">
        <f>MAX((L5+L16),0)</f>
        <v>0</v>
      </c>
      <c r="M18" s="21"/>
      <c r="N18" s="21">
        <f>MAX((N5+N16),0)</f>
        <v>13978.025402552177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0.23301891024155935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2091.3384279074185</v>
      </c>
      <c r="C22" s="23">
        <f ca="1">C18*C20</f>
        <v>0</v>
      </c>
      <c r="D22" s="23">
        <f>D18*D20</f>
        <v>435.709709116</v>
      </c>
      <c r="E22" s="23">
        <f>E18*E20</f>
        <v>171.90458705513996</v>
      </c>
      <c r="F22" s="23">
        <f>F18*F20</f>
        <v>688.75051572202869</v>
      </c>
      <c r="G22" s="23"/>
      <c r="H22" s="23"/>
      <c r="I22" s="23"/>
      <c r="J22" s="23">
        <f>J18*J20</f>
        <v>2.0269615842309605E-2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67.8</v>
      </c>
      <c r="C30" s="39">
        <f>IF(ISERROR(B30*3.6/1000000/'E Balans VL '!Z18*100),0,B30*3.6/1000000/'E Balans VL '!Z18*100)</f>
        <v>6.6713469250368196E-3</v>
      </c>
      <c r="D30" s="239" t="s">
        <v>692</v>
      </c>
    </row>
    <row r="31" spans="1:18">
      <c r="A31" s="6" t="s">
        <v>33</v>
      </c>
      <c r="B31" s="37">
        <f>IF( ISERROR(IND_ander_ele_kWh/1000),0,IND_ander_ele_kWh/1000)</f>
        <v>2455.4679999999998</v>
      </c>
      <c r="C31" s="39">
        <f>IF(ISERROR(B31*3.6/1000000/'E Balans VL '!Z19*100),0,B31*3.6/1000000/'E Balans VL '!Z19*100)</f>
        <v>0.10693367269247094</v>
      </c>
      <c r="D31" s="239" t="s">
        <v>692</v>
      </c>
    </row>
    <row r="32" spans="1:18">
      <c r="A32" s="173" t="s">
        <v>41</v>
      </c>
      <c r="B32" s="37">
        <f>IF( ISERROR(IND_voed_ele_kWh/1000),0,IND_voed_ele_kWh/1000)</f>
        <v>311.93400000000003</v>
      </c>
      <c r="C32" s="39">
        <f>IF(ISERROR(B32*3.6/1000000/'E Balans VL '!Z20*100),0,B32*3.6/1000000/'E Balans VL '!Z20*100)</f>
        <v>5.918497792233323E-2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6119.0410000000002</v>
      </c>
      <c r="C35" s="39">
        <f>IF(ISERROR(B35*3.6/1000000/'E Balans VL '!Z22*100),0,B35*3.6/1000000/'E Balans VL '!Z22*100)</f>
        <v>0.86039861009448848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20.73</v>
      </c>
      <c r="C37" s="39">
        <f>IF(ISERROR(B37*3.6/1000000/'E Balans VL '!Z15*100),0,B37*3.6/1000000/'E Balans VL '!Z15*100)</f>
        <v>1.5975011168838083E-4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2337.768</v>
      </c>
      <c r="C5" s="17">
        <f>'Eigen informatie GS &amp; warmtenet'!B60</f>
        <v>0</v>
      </c>
      <c r="D5" s="30">
        <f>IF(ISERROR(SUM(LB_lb_gas_kWh,LB_rest_gas_kWh,onbekend_gas_kWh)/1000),0,SUM(LB_lb_gas_kWh,LB_rest_gas_kWh,onbekend_gas_kWh)/1000)*0.902</f>
        <v>242935.04573800002</v>
      </c>
      <c r="E5" s="17">
        <f>B17*'E Balans VL '!I25/3.6*1000000/100</f>
        <v>29.45888845751594</v>
      </c>
      <c r="F5" s="17">
        <f>B17*('E Balans VL '!L25/3.6*1000000+'E Balans VL '!N25/3.6*1000000)/100</f>
        <v>8065.8852458777756</v>
      </c>
      <c r="G5" s="18"/>
      <c r="H5" s="17"/>
      <c r="I5" s="17"/>
      <c r="J5" s="17">
        <f>('E Balans VL '!D25+'E Balans VL '!E25)/3.6*1000000*landbouw!B17/100</f>
        <v>351.57373239128827</v>
      </c>
      <c r="K5" s="17"/>
      <c r="L5" s="17">
        <f>L6*(-1)</f>
        <v>0</v>
      </c>
      <c r="M5" s="17"/>
      <c r="N5" s="17">
        <f>N6*(-1)</f>
        <v>0</v>
      </c>
      <c r="O5" s="17"/>
      <c r="P5" s="17"/>
      <c r="R5" s="32"/>
    </row>
    <row r="6" spans="1:18">
      <c r="A6" s="16" t="s">
        <v>497</v>
      </c>
      <c r="B6" s="17" t="s">
        <v>211</v>
      </c>
      <c r="C6" s="17">
        <f>'lokale energieproductie'!O91+'lokale energieproductie'!O60</f>
        <v>125569.28571428572</v>
      </c>
      <c r="D6" s="312">
        <f>('lokale energieproductie'!P60+'lokale energieproductie'!P91)*(-1)</f>
        <v>-251138.57142857148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2337.768</v>
      </c>
      <c r="C8" s="21">
        <f>C5+C6</f>
        <v>125569.28571428572</v>
      </c>
      <c r="D8" s="21">
        <f>MAX((D5+D6),0)</f>
        <v>0</v>
      </c>
      <c r="E8" s="21">
        <f>MAX((E5+E6),0)</f>
        <v>29.45888845751594</v>
      </c>
      <c r="F8" s="21">
        <f>MAX((F5+F6),0)</f>
        <v>8065.8852458777756</v>
      </c>
      <c r="G8" s="21"/>
      <c r="H8" s="21"/>
      <c r="I8" s="21"/>
      <c r="J8" s="21">
        <f>MAX((J5+J6),0)</f>
        <v>351.57373239128827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0.23301891024155935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544.74415175758975</v>
      </c>
      <c r="C12" s="23">
        <f ca="1">C8*C10</f>
        <v>29841.171428571437</v>
      </c>
      <c r="D12" s="23">
        <f>D8*D10</f>
        <v>0</v>
      </c>
      <c r="E12" s="23">
        <f>E8*E10</f>
        <v>6.6871676798561186</v>
      </c>
      <c r="F12" s="23">
        <f>F8*F10</f>
        <v>2153.5913606493664</v>
      </c>
      <c r="G12" s="23"/>
      <c r="H12" s="23"/>
      <c r="I12" s="23"/>
      <c r="J12" s="23">
        <f>J8*J10</f>
        <v>124.45710126651605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0.32604495382961735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28.418251338540948</v>
      </c>
      <c r="C26" s="249">
        <f>B26*'GWP N2O_CH4'!B5</f>
        <v>596.78327810935991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2.924946529281875</v>
      </c>
      <c r="C27" s="249">
        <f>B27*'GWP N2O_CH4'!B5</f>
        <v>61.423877114919378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0.40455811670800945</v>
      </c>
      <c r="C28" s="249">
        <f>B28*'GWP N2O_CH4'!B4</f>
        <v>125.41301617948292</v>
      </c>
      <c r="D28" s="50"/>
    </row>
    <row r="29" spans="1:4">
      <c r="A29" s="41" t="s">
        <v>277</v>
      </c>
      <c r="B29" s="249">
        <f>B34*'ha_N2O bodem landbouw'!B4</f>
        <v>5.736229061918384</v>
      </c>
      <c r="C29" s="249">
        <f>B29*'GWP N2O_CH4'!B4</f>
        <v>1778.231009194699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1.4322790787604763E-3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1.0657577407683854E-5</v>
      </c>
      <c r="C5" s="448" t="s">
        <v>211</v>
      </c>
      <c r="D5" s="433">
        <f>SUM(D6:D11)</f>
        <v>1.6396818650787639E-5</v>
      </c>
      <c r="E5" s="433">
        <f>SUM(E6:E11)</f>
        <v>5.0760350732253698E-4</v>
      </c>
      <c r="F5" s="446" t="s">
        <v>211</v>
      </c>
      <c r="G5" s="433">
        <f>SUM(G6:G11)</f>
        <v>0.13478369959378073</v>
      </c>
      <c r="H5" s="433">
        <f>SUM(H6:H11)</f>
        <v>2.4658606508611545E-2</v>
      </c>
      <c r="I5" s="448" t="s">
        <v>211</v>
      </c>
      <c r="J5" s="448" t="s">
        <v>211</v>
      </c>
      <c r="K5" s="448" t="s">
        <v>211</v>
      </c>
      <c r="L5" s="448" t="s">
        <v>211</v>
      </c>
      <c r="M5" s="433">
        <f>SUM(M6:M11)</f>
        <v>7.2080090298193697E-3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9.4797430998374537E-6</v>
      </c>
      <c r="C6" s="949"/>
      <c r="D6" s="949">
        <f>vkm_2011_GW_PW*SUMIFS(TableVerdeelsleutelVkm[CNG],TableVerdeelsleutelVkm[Voertuigtype],"Lichte voertuigen")*SUMIFS(TableECFTransport[EnergieConsumptieFactor (PJ per km)],TableECFTransport[Index],CONCATENATE($A6,"_CNG_CNG"))</f>
        <v>1.3425170283350091E-5</v>
      </c>
      <c r="E6" s="949">
        <f>vkm_2011_GW_PW*SUMIFS(TableVerdeelsleutelVkm[LPG],TableVerdeelsleutelVkm[Voertuigtype],"Lichte voertuigen")*SUMIFS(TableECFTransport[EnergieConsumptieFactor (PJ per km)],TableECFTransport[Index],CONCATENATE($A6,"_LPG_LPG"))</f>
        <v>4.2164040177264828E-4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7.578032557256982E-2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2.0305948011328508E-2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4.3472500389693785E-3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4.0617494250827502E-2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1.4430974635403009E-5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1.8329389700368613E-3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1.1778343078464006E-6</v>
      </c>
      <c r="C8" s="949"/>
      <c r="D8" s="436">
        <f>vkm_2011_NGW_PW*SUMIFS(TableVerdeelsleutelVkm[CNG],TableVerdeelsleutelVkm[Voertuigtype],"Lichte voertuigen")*SUMIFS(TableECFTransport[EnergieConsumptieFactor (PJ per km)],TableECFTransport[Index],CONCATENATE($A8,"_CNG_CNG"))</f>
        <v>2.9716483674375491E-6</v>
      </c>
      <c r="E8" s="436">
        <f>vkm_2011_NGW_PW*SUMIFS(TableVerdeelsleutelVkm[LPG],TableVerdeelsleutelVkm[Voertuigtype],"Lichte voertuigen")*SUMIFS(TableECFTransport[EnergieConsumptieFactor (PJ per km)],TableECFTransport[Index],CONCATENATE($A8,"_LPG_LPG"))</f>
        <v>8.5963105549888738E-5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1.4571579974648117E-2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4.3369451269212331E-3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8.5569607152506471E-4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3.8142997957352782E-3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1.2823957264025267E-6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1.7212394928806536E-4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2.9604381688010704</v>
      </c>
      <c r="C14" s="21"/>
      <c r="D14" s="21">
        <f t="shared" ref="D14:M14" si="0">((D5)*10^9/3600)+D12</f>
        <v>4.5546718474410106</v>
      </c>
      <c r="E14" s="21">
        <f t="shared" si="0"/>
        <v>141.00097425626026</v>
      </c>
      <c r="F14" s="21"/>
      <c r="G14" s="21">
        <f t="shared" si="0"/>
        <v>37439.916553827978</v>
      </c>
      <c r="H14" s="21">
        <f t="shared" si="0"/>
        <v>6849.6129190587626</v>
      </c>
      <c r="I14" s="21"/>
      <c r="J14" s="21"/>
      <c r="K14" s="21"/>
      <c r="L14" s="21"/>
      <c r="M14" s="21">
        <f t="shared" si="0"/>
        <v>2002.2247305053804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0.23301891024155935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0.68983807593154289</v>
      </c>
      <c r="C18" s="23"/>
      <c r="D18" s="23">
        <f t="shared" ref="D18:M18" si="1">D14*D16</f>
        <v>0.9200437131830842</v>
      </c>
      <c r="E18" s="23">
        <f t="shared" si="1"/>
        <v>32.007221156171084</v>
      </c>
      <c r="F18" s="23"/>
      <c r="G18" s="23">
        <f t="shared" si="1"/>
        <v>9996.4577198720708</v>
      </c>
      <c r="H18" s="23">
        <f t="shared" si="1"/>
        <v>1705.553616845632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2.637821252228782E-3</v>
      </c>
      <c r="C50" s="323">
        <f t="shared" ref="C50:P50" si="2">SUM(C51:C52)</f>
        <v>0</v>
      </c>
      <c r="D50" s="323">
        <f t="shared" si="2"/>
        <v>0</v>
      </c>
      <c r="E50" s="323">
        <f t="shared" si="2"/>
        <v>0</v>
      </c>
      <c r="F50" s="323">
        <f t="shared" si="2"/>
        <v>0</v>
      </c>
      <c r="G50" s="323">
        <f t="shared" si="2"/>
        <v>5.0501142889180957E-3</v>
      </c>
      <c r="H50" s="323">
        <f t="shared" si="2"/>
        <v>0</v>
      </c>
      <c r="I50" s="323">
        <f t="shared" si="2"/>
        <v>0</v>
      </c>
      <c r="J50" s="323">
        <f t="shared" si="2"/>
        <v>0</v>
      </c>
      <c r="K50" s="323">
        <f t="shared" si="2"/>
        <v>0</v>
      </c>
      <c r="L50" s="323">
        <f t="shared" si="2"/>
        <v>0</v>
      </c>
      <c r="M50" s="323">
        <f t="shared" si="2"/>
        <v>2.2459093458543971E-4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5.0501142889180957E-3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2.2459093458543971E-4</v>
      </c>
      <c r="N51" s="325"/>
      <c r="O51" s="325"/>
      <c r="P51" s="328"/>
    </row>
    <row r="52" spans="1:18">
      <c r="A52" s="4" t="s">
        <v>330</v>
      </c>
      <c r="B52" s="329">
        <f>vkm_2011_tram*SUMIFS(TableECFTransport[EnergieConsumptieFactor (PJ per km)],TableECFTransport[Index],"Tram_gemiddeld_Electric_Electric")</f>
        <v>2.637821252228782E-3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732.72812561910609</v>
      </c>
      <c r="C54" s="21">
        <f t="shared" ref="C54:P54" si="3">(C50)*10^9/3600</f>
        <v>0</v>
      </c>
      <c r="D54" s="21">
        <f t="shared" si="3"/>
        <v>0</v>
      </c>
      <c r="E54" s="21">
        <f t="shared" si="3"/>
        <v>0</v>
      </c>
      <c r="F54" s="21">
        <f t="shared" si="3"/>
        <v>0</v>
      </c>
      <c r="G54" s="21">
        <f t="shared" si="3"/>
        <v>1402.809524699471</v>
      </c>
      <c r="H54" s="21">
        <f t="shared" si="3"/>
        <v>0</v>
      </c>
      <c r="I54" s="21">
        <f t="shared" si="3"/>
        <v>0</v>
      </c>
      <c r="J54" s="21">
        <f t="shared" si="3"/>
        <v>0</v>
      </c>
      <c r="K54" s="21">
        <f t="shared" si="3"/>
        <v>0</v>
      </c>
      <c r="L54" s="21">
        <f t="shared" si="3"/>
        <v>0</v>
      </c>
      <c r="M54" s="21">
        <f t="shared" si="3"/>
        <v>62.386370718177695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0.23301891024155935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170.73950933510451</v>
      </c>
      <c r="C58" s="23">
        <f t="shared" ref="C58:P58" ca="1" si="4">C54*C56</f>
        <v>0</v>
      </c>
      <c r="D58" s="23">
        <f t="shared" si="4"/>
        <v>0</v>
      </c>
      <c r="E58" s="23">
        <f t="shared" si="4"/>
        <v>0</v>
      </c>
      <c r="F58" s="23">
        <f t="shared" si="4"/>
        <v>0</v>
      </c>
      <c r="G58" s="23">
        <f t="shared" si="4"/>
        <v>374.55014309475877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2115.9250653601148</v>
      </c>
      <c r="C6" s="1251"/>
      <c r="D6" s="1236"/>
      <c r="E6" s="1236"/>
      <c r="F6" s="1254"/>
      <c r="G6" s="1257"/>
      <c r="H6" s="1248"/>
      <c r="I6" s="1236"/>
      <c r="J6" s="1236"/>
      <c r="K6" s="1236"/>
      <c r="L6" s="1240"/>
      <c r="M6" s="561"/>
      <c r="N6" s="1214"/>
      <c r="O6" s="1215"/>
      <c r="Q6" s="559"/>
      <c r="R6" s="1202"/>
      <c r="S6" s="1202"/>
    </row>
    <row r="7" spans="1:19" s="549" customFormat="1">
      <c r="A7" s="562" t="s">
        <v>252</v>
      </c>
      <c r="B7" s="563">
        <f>N57</f>
        <v>106533</v>
      </c>
      <c r="C7" s="564">
        <f>B100</f>
        <v>125332.94117647059</v>
      </c>
      <c r="D7" s="565"/>
      <c r="E7" s="565">
        <f>E100</f>
        <v>0</v>
      </c>
      <c r="F7" s="566"/>
      <c r="G7" s="567"/>
      <c r="H7" s="565">
        <f>I100</f>
        <v>0</v>
      </c>
      <c r="I7" s="565">
        <f>G100+F100</f>
        <v>0</v>
      </c>
      <c r="J7" s="565">
        <f>H100+D100+C100</f>
        <v>0</v>
      </c>
      <c r="K7" s="565"/>
      <c r="L7" s="568"/>
      <c r="M7" s="569">
        <f>C7*$C$11+D7*$D$11+E7*$E$11+F7*$F$11+G7*$G$11+H7*$H$11+I7*$I$11+J7*$J$11</f>
        <v>25317.254117647059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108648.92506536012</v>
      </c>
      <c r="C9" s="580">
        <f t="shared" ref="C9:L9" si="0">SUM(C7:C8)</f>
        <v>125332.94117647059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25317.254117647059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152190</v>
      </c>
      <c r="C16" s="596">
        <f>B101</f>
        <v>179047.05882352943</v>
      </c>
      <c r="D16" s="597"/>
      <c r="E16" s="597">
        <f>E101</f>
        <v>0</v>
      </c>
      <c r="F16" s="598"/>
      <c r="G16" s="599"/>
      <c r="H16" s="596">
        <f>I101</f>
        <v>0</v>
      </c>
      <c r="I16" s="597">
        <f>G101+F101</f>
        <v>0</v>
      </c>
      <c r="J16" s="597">
        <f>H101+D101+C101</f>
        <v>0</v>
      </c>
      <c r="K16" s="597"/>
      <c r="L16" s="600"/>
      <c r="M16" s="601">
        <f>C16*$C$21+E16*$E$21+H16*$H$21+I16*$I$21+J16*$J$21+D16*$D$21+F16*$F$21+G16*$G$21+K16*$K$21+L16*$L$21</f>
        <v>36167.505882352947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152190</v>
      </c>
      <c r="C19" s="579">
        <f>SUM(C16:C18)</f>
        <v>179047.05882352943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36167.505882352947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11004</v>
      </c>
      <c r="C27" s="839">
        <v>2530</v>
      </c>
      <c r="D27" s="658" t="s">
        <v>878</v>
      </c>
      <c r="E27" s="657" t="s">
        <v>879</v>
      </c>
      <c r="F27" s="657" t="s">
        <v>880</v>
      </c>
      <c r="G27" s="657" t="s">
        <v>881</v>
      </c>
      <c r="H27" s="657" t="s">
        <v>882</v>
      </c>
      <c r="I27" s="657" t="s">
        <v>879</v>
      </c>
      <c r="J27" s="838">
        <v>38777</v>
      </c>
      <c r="K27" s="838">
        <v>39134</v>
      </c>
      <c r="L27" s="657" t="s">
        <v>883</v>
      </c>
      <c r="M27" s="657">
        <v>3365</v>
      </c>
      <c r="N27" s="657">
        <v>15142.500000000002</v>
      </c>
      <c r="O27" s="657">
        <v>21632.142857142859</v>
      </c>
      <c r="P27" s="657">
        <v>43264.285714285725</v>
      </c>
      <c r="Q27" s="657">
        <v>0</v>
      </c>
      <c r="R27" s="657">
        <v>0</v>
      </c>
      <c r="S27" s="657">
        <v>0</v>
      </c>
      <c r="T27" s="657">
        <v>0</v>
      </c>
      <c r="U27" s="657">
        <v>0</v>
      </c>
      <c r="V27" s="657">
        <v>0</v>
      </c>
      <c r="W27" s="657">
        <v>0</v>
      </c>
      <c r="X27" s="657">
        <v>10</v>
      </c>
      <c r="Y27" s="657" t="s">
        <v>112</v>
      </c>
      <c r="Z27" s="659" t="s">
        <v>112</v>
      </c>
    </row>
    <row r="28" spans="1:26" s="611" customFormat="1" ht="25.5">
      <c r="A28" s="610"/>
      <c r="B28" s="839">
        <v>11004</v>
      </c>
      <c r="C28" s="839">
        <v>2531</v>
      </c>
      <c r="D28" s="658" t="s">
        <v>884</v>
      </c>
      <c r="E28" s="657" t="s">
        <v>885</v>
      </c>
      <c r="F28" s="657" t="s">
        <v>886</v>
      </c>
      <c r="G28" s="657" t="s">
        <v>881</v>
      </c>
      <c r="H28" s="657" t="s">
        <v>882</v>
      </c>
      <c r="I28" s="657" t="s">
        <v>885</v>
      </c>
      <c r="J28" s="838">
        <v>39212</v>
      </c>
      <c r="K28" s="838">
        <v>39226</v>
      </c>
      <c r="L28" s="657" t="s">
        <v>883</v>
      </c>
      <c r="M28" s="657">
        <v>1125</v>
      </c>
      <c r="N28" s="657">
        <v>5062.5</v>
      </c>
      <c r="O28" s="657">
        <v>7232.1428571428569</v>
      </c>
      <c r="P28" s="657">
        <v>14464.285714285716</v>
      </c>
      <c r="Q28" s="657">
        <v>0</v>
      </c>
      <c r="R28" s="657">
        <v>0</v>
      </c>
      <c r="S28" s="657">
        <v>0</v>
      </c>
      <c r="T28" s="657">
        <v>0</v>
      </c>
      <c r="U28" s="657">
        <v>0</v>
      </c>
      <c r="V28" s="657">
        <v>0</v>
      </c>
      <c r="W28" s="657">
        <v>0</v>
      </c>
      <c r="X28" s="657">
        <v>10</v>
      </c>
      <c r="Y28" s="657" t="s">
        <v>112</v>
      </c>
      <c r="Z28" s="659" t="s">
        <v>112</v>
      </c>
    </row>
    <row r="29" spans="1:26" s="611" customFormat="1" ht="63.75">
      <c r="A29" s="610"/>
      <c r="B29" s="839">
        <v>11004</v>
      </c>
      <c r="C29" s="839">
        <v>2531</v>
      </c>
      <c r="D29" s="658" t="s">
        <v>887</v>
      </c>
      <c r="E29" s="657" t="s">
        <v>888</v>
      </c>
      <c r="F29" s="657" t="s">
        <v>889</v>
      </c>
      <c r="G29" s="657" t="s">
        <v>881</v>
      </c>
      <c r="H29" s="657" t="s">
        <v>882</v>
      </c>
      <c r="I29" s="657" t="s">
        <v>888</v>
      </c>
      <c r="J29" s="838">
        <v>39604</v>
      </c>
      <c r="K29" s="838">
        <v>39618</v>
      </c>
      <c r="L29" s="657" t="s">
        <v>883</v>
      </c>
      <c r="M29" s="657">
        <v>4141</v>
      </c>
      <c r="N29" s="657">
        <v>18634.5</v>
      </c>
      <c r="O29" s="657">
        <v>26620.714285714286</v>
      </c>
      <c r="P29" s="657">
        <v>53241.428571428572</v>
      </c>
      <c r="Q29" s="657">
        <v>0</v>
      </c>
      <c r="R29" s="657">
        <v>0</v>
      </c>
      <c r="S29" s="657">
        <v>0</v>
      </c>
      <c r="T29" s="657">
        <v>0</v>
      </c>
      <c r="U29" s="657">
        <v>0</v>
      </c>
      <c r="V29" s="657">
        <v>0</v>
      </c>
      <c r="W29" s="657">
        <v>0</v>
      </c>
      <c r="X29" s="657">
        <v>1600</v>
      </c>
      <c r="Y29" s="657" t="s">
        <v>50</v>
      </c>
      <c r="Z29" s="659" t="s">
        <v>156</v>
      </c>
    </row>
    <row r="30" spans="1:26" s="611" customFormat="1" ht="25.5">
      <c r="A30" s="610"/>
      <c r="B30" s="839">
        <v>11004</v>
      </c>
      <c r="C30" s="839">
        <v>2530</v>
      </c>
      <c r="D30" s="658" t="s">
        <v>890</v>
      </c>
      <c r="E30" s="657" t="s">
        <v>891</v>
      </c>
      <c r="F30" s="657" t="s">
        <v>892</v>
      </c>
      <c r="G30" s="657" t="s">
        <v>881</v>
      </c>
      <c r="H30" s="657" t="s">
        <v>882</v>
      </c>
      <c r="I30" s="657" t="s">
        <v>891</v>
      </c>
      <c r="J30" s="838">
        <v>40360</v>
      </c>
      <c r="K30" s="838">
        <v>40513</v>
      </c>
      <c r="L30" s="657" t="s">
        <v>893</v>
      </c>
      <c r="M30" s="657">
        <v>173</v>
      </c>
      <c r="N30" s="657">
        <v>778.49999999999989</v>
      </c>
      <c r="O30" s="657">
        <v>1112.1428571428571</v>
      </c>
      <c r="P30" s="657">
        <v>2224.2857142857142</v>
      </c>
      <c r="Q30" s="657">
        <v>0</v>
      </c>
      <c r="R30" s="657">
        <v>0</v>
      </c>
      <c r="S30" s="657">
        <v>0</v>
      </c>
      <c r="T30" s="657">
        <v>0</v>
      </c>
      <c r="U30" s="657">
        <v>0</v>
      </c>
      <c r="V30" s="657">
        <v>0</v>
      </c>
      <c r="W30" s="657">
        <v>0</v>
      </c>
      <c r="X30" s="657">
        <v>10</v>
      </c>
      <c r="Y30" s="657" t="s">
        <v>112</v>
      </c>
      <c r="Z30" s="659" t="s">
        <v>112</v>
      </c>
    </row>
    <row r="31" spans="1:26" s="611" customFormat="1" ht="25.5">
      <c r="A31" s="610"/>
      <c r="B31" s="839">
        <v>11004</v>
      </c>
      <c r="C31" s="839">
        <v>2531</v>
      </c>
      <c r="D31" s="658" t="s">
        <v>894</v>
      </c>
      <c r="E31" s="657" t="s">
        <v>895</v>
      </c>
      <c r="F31" s="657" t="s">
        <v>896</v>
      </c>
      <c r="G31" s="657" t="s">
        <v>881</v>
      </c>
      <c r="H31" s="657" t="s">
        <v>882</v>
      </c>
      <c r="I31" s="657" t="s">
        <v>895</v>
      </c>
      <c r="J31" s="838">
        <v>40525</v>
      </c>
      <c r="K31" s="838">
        <v>40525</v>
      </c>
      <c r="L31" s="657" t="s">
        <v>883</v>
      </c>
      <c r="M31" s="657">
        <v>1415</v>
      </c>
      <c r="N31" s="657">
        <v>6367.5</v>
      </c>
      <c r="O31" s="657">
        <v>9096.4285714285725</v>
      </c>
      <c r="P31" s="657">
        <v>18192.857142857145</v>
      </c>
      <c r="Q31" s="657">
        <v>0</v>
      </c>
      <c r="R31" s="657">
        <v>0</v>
      </c>
      <c r="S31" s="657">
        <v>0</v>
      </c>
      <c r="T31" s="657">
        <v>0</v>
      </c>
      <c r="U31" s="657">
        <v>0</v>
      </c>
      <c r="V31" s="657">
        <v>0</v>
      </c>
      <c r="W31" s="657">
        <v>0</v>
      </c>
      <c r="X31" s="657">
        <v>10</v>
      </c>
      <c r="Y31" s="657" t="s">
        <v>112</v>
      </c>
      <c r="Z31" s="659" t="s">
        <v>112</v>
      </c>
    </row>
    <row r="32" spans="1:26" s="611" customFormat="1" ht="25.5">
      <c r="A32" s="610"/>
      <c r="B32" s="839">
        <v>11004</v>
      </c>
      <c r="C32" s="839">
        <v>2531</v>
      </c>
      <c r="D32" s="658" t="s">
        <v>897</v>
      </c>
      <c r="E32" s="657" t="s">
        <v>898</v>
      </c>
      <c r="F32" s="657" t="s">
        <v>899</v>
      </c>
      <c r="G32" s="657" t="s">
        <v>881</v>
      </c>
      <c r="H32" s="657" t="s">
        <v>882</v>
      </c>
      <c r="I32" s="657" t="s">
        <v>898</v>
      </c>
      <c r="J32" s="838">
        <v>40588</v>
      </c>
      <c r="K32" s="838">
        <v>40588</v>
      </c>
      <c r="L32" s="657" t="s">
        <v>883</v>
      </c>
      <c r="M32" s="657">
        <v>1415</v>
      </c>
      <c r="N32" s="657">
        <v>6367.5</v>
      </c>
      <c r="O32" s="657">
        <v>9096.4285714285725</v>
      </c>
      <c r="P32" s="657">
        <v>18192.857142857145</v>
      </c>
      <c r="Q32" s="657">
        <v>0</v>
      </c>
      <c r="R32" s="657">
        <v>0</v>
      </c>
      <c r="S32" s="657">
        <v>0</v>
      </c>
      <c r="T32" s="657">
        <v>0</v>
      </c>
      <c r="U32" s="657">
        <v>0</v>
      </c>
      <c r="V32" s="657">
        <v>0</v>
      </c>
      <c r="W32" s="657">
        <v>0</v>
      </c>
      <c r="X32" s="657">
        <v>10</v>
      </c>
      <c r="Y32" s="657" t="s">
        <v>112</v>
      </c>
      <c r="Z32" s="659" t="s">
        <v>112</v>
      </c>
    </row>
    <row r="33" spans="1:26" s="611" customFormat="1" ht="25.5">
      <c r="A33" s="610"/>
      <c r="B33" s="839">
        <v>11004</v>
      </c>
      <c r="C33" s="839">
        <v>2531</v>
      </c>
      <c r="D33" s="658" t="s">
        <v>900</v>
      </c>
      <c r="E33" s="657" t="s">
        <v>901</v>
      </c>
      <c r="F33" s="657" t="s">
        <v>902</v>
      </c>
      <c r="G33" s="657" t="s">
        <v>881</v>
      </c>
      <c r="H33" s="657" t="s">
        <v>882</v>
      </c>
      <c r="I33" s="657" t="s">
        <v>901</v>
      </c>
      <c r="J33" s="838">
        <v>40603</v>
      </c>
      <c r="K33" s="838">
        <v>39497</v>
      </c>
      <c r="L33" s="657" t="s">
        <v>883</v>
      </c>
      <c r="M33" s="657">
        <v>6390</v>
      </c>
      <c r="N33" s="657">
        <v>28755</v>
      </c>
      <c r="O33" s="657">
        <v>41078.571428571428</v>
      </c>
      <c r="P33" s="657">
        <v>82157.14285714287</v>
      </c>
      <c r="Q33" s="657">
        <v>0</v>
      </c>
      <c r="R33" s="657">
        <v>0</v>
      </c>
      <c r="S33" s="657">
        <v>0</v>
      </c>
      <c r="T33" s="657">
        <v>0</v>
      </c>
      <c r="U33" s="657">
        <v>0</v>
      </c>
      <c r="V33" s="657">
        <v>0</v>
      </c>
      <c r="W33" s="657">
        <v>0</v>
      </c>
      <c r="X33" s="657">
        <v>10</v>
      </c>
      <c r="Y33" s="657" t="s">
        <v>112</v>
      </c>
      <c r="Z33" s="659" t="s">
        <v>112</v>
      </c>
    </row>
    <row r="34" spans="1:26" s="611" customFormat="1" ht="25.5">
      <c r="A34" s="610"/>
      <c r="B34" s="839">
        <v>11004</v>
      </c>
      <c r="C34" s="839">
        <v>2530</v>
      </c>
      <c r="D34" s="658" t="s">
        <v>903</v>
      </c>
      <c r="E34" s="657" t="s">
        <v>904</v>
      </c>
      <c r="F34" s="657" t="s">
        <v>905</v>
      </c>
      <c r="G34" s="657" t="s">
        <v>881</v>
      </c>
      <c r="H34" s="657" t="s">
        <v>882</v>
      </c>
      <c r="I34" s="657" t="s">
        <v>906</v>
      </c>
      <c r="J34" s="838">
        <v>41262</v>
      </c>
      <c r="K34" s="838">
        <v>38991</v>
      </c>
      <c r="L34" s="657" t="s">
        <v>883</v>
      </c>
      <c r="M34" s="657">
        <v>1560</v>
      </c>
      <c r="N34" s="657">
        <v>7020</v>
      </c>
      <c r="O34" s="657">
        <v>10028.571428571429</v>
      </c>
      <c r="P34" s="657">
        <v>20057.142857142859</v>
      </c>
      <c r="Q34" s="657">
        <v>0</v>
      </c>
      <c r="R34" s="657">
        <v>0</v>
      </c>
      <c r="S34" s="657">
        <v>0</v>
      </c>
      <c r="T34" s="657">
        <v>0</v>
      </c>
      <c r="U34" s="657">
        <v>0</v>
      </c>
      <c r="V34" s="657">
        <v>0</v>
      </c>
      <c r="W34" s="657">
        <v>0</v>
      </c>
      <c r="X34" s="657">
        <v>10</v>
      </c>
      <c r="Y34" s="657" t="s">
        <v>112</v>
      </c>
      <c r="Z34" s="659" t="s">
        <v>112</v>
      </c>
    </row>
    <row r="35" spans="1:26" s="611" customFormat="1" ht="38.25">
      <c r="A35" s="610"/>
      <c r="B35" s="839">
        <v>11004</v>
      </c>
      <c r="C35" s="839">
        <v>2530</v>
      </c>
      <c r="D35" s="658" t="s">
        <v>907</v>
      </c>
      <c r="E35" s="657" t="s">
        <v>908</v>
      </c>
      <c r="F35" s="657" t="s">
        <v>909</v>
      </c>
      <c r="G35" s="657" t="s">
        <v>881</v>
      </c>
      <c r="H35" s="657" t="s">
        <v>882</v>
      </c>
      <c r="I35" s="657" t="s">
        <v>908</v>
      </c>
      <c r="J35" s="838">
        <v>41285</v>
      </c>
      <c r="K35" s="838">
        <v>39083</v>
      </c>
      <c r="L35" s="657" t="s">
        <v>883</v>
      </c>
      <c r="M35" s="657">
        <v>4090</v>
      </c>
      <c r="N35" s="657">
        <v>18405</v>
      </c>
      <c r="O35" s="657">
        <v>26292.857142857145</v>
      </c>
      <c r="P35" s="657">
        <v>52585.71428571429</v>
      </c>
      <c r="Q35" s="657">
        <v>0</v>
      </c>
      <c r="R35" s="657">
        <v>0</v>
      </c>
      <c r="S35" s="657">
        <v>0</v>
      </c>
      <c r="T35" s="657">
        <v>0</v>
      </c>
      <c r="U35" s="657">
        <v>0</v>
      </c>
      <c r="V35" s="657">
        <v>0</v>
      </c>
      <c r="W35" s="657">
        <v>0</v>
      </c>
      <c r="X35" s="657">
        <v>10</v>
      </c>
      <c r="Y35" s="657" t="s">
        <v>112</v>
      </c>
      <c r="Z35" s="659" t="s">
        <v>112</v>
      </c>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23674</v>
      </c>
      <c r="N57" s="615">
        <f>SUM(N27:N56)</f>
        <v>106533</v>
      </c>
      <c r="O57" s="615">
        <f t="shared" ref="O57:W57" si="2">SUM(O27:O56)</f>
        <v>152190</v>
      </c>
      <c r="P57" s="615">
        <f t="shared" si="2"/>
        <v>304380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4141</v>
      </c>
      <c r="N59" s="615">
        <f ca="1">SUMIF($Z$27:AB56,"tertiair",N27:N56)</f>
        <v>18634.5</v>
      </c>
      <c r="O59" s="615">
        <f ca="1">SUMIF($Z$27:AC56,"tertiair",O27:O56)</f>
        <v>26620.714285714286</v>
      </c>
      <c r="P59" s="615">
        <f ca="1">SUMIF($Z$27:AD56,"tertiair",P27:P56)</f>
        <v>53241.428571428572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19533</v>
      </c>
      <c r="N60" s="620">
        <f t="shared" ref="N60:W60" si="4">SUMIF($Z$27:$Z$56,"landbouw",N27:N56)</f>
        <v>87898.5</v>
      </c>
      <c r="O60" s="620">
        <f t="shared" si="4"/>
        <v>125569.28571428572</v>
      </c>
      <c r="P60" s="620">
        <f t="shared" si="4"/>
        <v>251138.57142857148</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125332.94117647059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179047.05882352943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30872.057000000004</v>
      </c>
      <c r="D10" s="704">
        <f ca="1">tertiair!C16</f>
        <v>26620.714285714286</v>
      </c>
      <c r="E10" s="704">
        <f ca="1">tertiair!D16</f>
        <v>0</v>
      </c>
      <c r="F10" s="704">
        <f>tertiair!E16</f>
        <v>205.09475157903319</v>
      </c>
      <c r="G10" s="704">
        <f ca="1">tertiair!F16</f>
        <v>2304.569979228691</v>
      </c>
      <c r="H10" s="704">
        <f>tertiair!G16</f>
        <v>0</v>
      </c>
      <c r="I10" s="704">
        <f>tertiair!H16</f>
        <v>0</v>
      </c>
      <c r="J10" s="704">
        <f>tertiair!I16</f>
        <v>0</v>
      </c>
      <c r="K10" s="704">
        <f>tertiair!J16</f>
        <v>0</v>
      </c>
      <c r="L10" s="704">
        <f>tertiair!K16</f>
        <v>0</v>
      </c>
      <c r="M10" s="704">
        <f ca="1">tertiair!L16</f>
        <v>0</v>
      </c>
      <c r="N10" s="704">
        <f>tertiair!M16</f>
        <v>0</v>
      </c>
      <c r="O10" s="704">
        <f ca="1">tertiair!N16</f>
        <v>499.99214292651089</v>
      </c>
      <c r="P10" s="704">
        <f>tertiair!O16</f>
        <v>3.1266666666666669</v>
      </c>
      <c r="Q10" s="705">
        <f>tertiair!P16</f>
        <v>0</v>
      </c>
      <c r="R10" s="707">
        <f ca="1">SUM(C10:Q10)</f>
        <v>60505.554826115185</v>
      </c>
      <c r="S10" s="67"/>
    </row>
    <row r="11" spans="1:19" s="459" customFormat="1">
      <c r="A11" s="858" t="s">
        <v>225</v>
      </c>
      <c r="B11" s="863"/>
      <c r="C11" s="704">
        <f>huishoudens!B8</f>
        <v>22369.422838294235</v>
      </c>
      <c r="D11" s="704">
        <f>huishoudens!C8</f>
        <v>0</v>
      </c>
      <c r="E11" s="704">
        <f>huishoudens!D8</f>
        <v>66608.162940000009</v>
      </c>
      <c r="F11" s="704">
        <f>huishoudens!E8</f>
        <v>1100.6903067948963</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9003.072044546765</v>
      </c>
      <c r="P11" s="704">
        <f>huishoudens!O8</f>
        <v>103.17999999999999</v>
      </c>
      <c r="Q11" s="705">
        <f>huishoudens!P8</f>
        <v>400.4</v>
      </c>
      <c r="R11" s="707">
        <f>SUM(C11:Q11)</f>
        <v>99584.928129635897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8974.973</v>
      </c>
      <c r="D13" s="704">
        <f>industrie!C18</f>
        <v>0</v>
      </c>
      <c r="E13" s="704">
        <f>industrie!D18</f>
        <v>2156.9787579999997</v>
      </c>
      <c r="F13" s="704">
        <f>industrie!E18</f>
        <v>757.28892975832582</v>
      </c>
      <c r="G13" s="704">
        <f>industrie!F18</f>
        <v>2579.589946524452</v>
      </c>
      <c r="H13" s="704">
        <f>industrie!G18</f>
        <v>0</v>
      </c>
      <c r="I13" s="704">
        <f>industrie!H18</f>
        <v>0</v>
      </c>
      <c r="J13" s="704">
        <f>industrie!I18</f>
        <v>0</v>
      </c>
      <c r="K13" s="704">
        <f>industrie!J18</f>
        <v>5.7258801814433914E-2</v>
      </c>
      <c r="L13" s="704">
        <f>industrie!K18</f>
        <v>0</v>
      </c>
      <c r="M13" s="704">
        <f>industrie!L18</f>
        <v>0</v>
      </c>
      <c r="N13" s="704">
        <f>industrie!M18</f>
        <v>0</v>
      </c>
      <c r="O13" s="704">
        <f>industrie!N18</f>
        <v>13978.025402552177</v>
      </c>
      <c r="P13" s="704">
        <f>industrie!O18</f>
        <v>0</v>
      </c>
      <c r="Q13" s="705">
        <f>industrie!P18</f>
        <v>0</v>
      </c>
      <c r="R13" s="707">
        <f>SUM(C13:Q13)</f>
        <v>28446.913295636768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62216.452838294237</v>
      </c>
      <c r="D15" s="709">
        <f t="shared" ref="D15:Q15" ca="1" si="0">SUM(D9:D14)</f>
        <v>26620.714285714286</v>
      </c>
      <c r="E15" s="709">
        <f t="shared" ca="1" si="0"/>
        <v>68765.141698000007</v>
      </c>
      <c r="F15" s="709">
        <f t="shared" si="0"/>
        <v>2063.0739881322552</v>
      </c>
      <c r="G15" s="709">
        <f t="shared" ca="1" si="0"/>
        <v>4884.1599257531434</v>
      </c>
      <c r="H15" s="709">
        <f t="shared" si="0"/>
        <v>0</v>
      </c>
      <c r="I15" s="709">
        <f t="shared" si="0"/>
        <v>0</v>
      </c>
      <c r="J15" s="709">
        <f t="shared" si="0"/>
        <v>0</v>
      </c>
      <c r="K15" s="709">
        <f t="shared" si="0"/>
        <v>5.7258801814433914E-2</v>
      </c>
      <c r="L15" s="709">
        <f t="shared" si="0"/>
        <v>0</v>
      </c>
      <c r="M15" s="709">
        <f t="shared" ca="1" si="0"/>
        <v>0</v>
      </c>
      <c r="N15" s="709">
        <f t="shared" si="0"/>
        <v>0</v>
      </c>
      <c r="O15" s="709">
        <f t="shared" ca="1" si="0"/>
        <v>23481.089590025455</v>
      </c>
      <c r="P15" s="709">
        <f t="shared" si="0"/>
        <v>106.30666666666666</v>
      </c>
      <c r="Q15" s="710">
        <f t="shared" si="0"/>
        <v>400.4</v>
      </c>
      <c r="R15" s="711">
        <f ca="1">SUM(R9:R14)</f>
        <v>188537.39625138784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732.72812561910609</v>
      </c>
      <c r="D18" s="704">
        <f>transport!C54</f>
        <v>0</v>
      </c>
      <c r="E18" s="704">
        <f>transport!D54</f>
        <v>0</v>
      </c>
      <c r="F18" s="704">
        <f>transport!E54</f>
        <v>0</v>
      </c>
      <c r="G18" s="704">
        <f>transport!F54</f>
        <v>0</v>
      </c>
      <c r="H18" s="704">
        <f>transport!G54</f>
        <v>1402.809524699471</v>
      </c>
      <c r="I18" s="704">
        <f>transport!H54</f>
        <v>0</v>
      </c>
      <c r="J18" s="704">
        <f>transport!I54</f>
        <v>0</v>
      </c>
      <c r="K18" s="704">
        <f>transport!J54</f>
        <v>0</v>
      </c>
      <c r="L18" s="704">
        <f>transport!K54</f>
        <v>0</v>
      </c>
      <c r="M18" s="704">
        <f>transport!L54</f>
        <v>0</v>
      </c>
      <c r="N18" s="704">
        <f>transport!M54</f>
        <v>62.386370718177695</v>
      </c>
      <c r="O18" s="704">
        <f>transport!N54</f>
        <v>0</v>
      </c>
      <c r="P18" s="704">
        <f>transport!O54</f>
        <v>0</v>
      </c>
      <c r="Q18" s="705">
        <f>transport!P54</f>
        <v>0</v>
      </c>
      <c r="R18" s="707">
        <f>SUM(C18:Q18)</f>
        <v>2197.9240210367548</v>
      </c>
      <c r="S18" s="67"/>
    </row>
    <row r="19" spans="1:19" s="459" customFormat="1" ht="15" thickBot="1">
      <c r="A19" s="858" t="s">
        <v>307</v>
      </c>
      <c r="B19" s="863"/>
      <c r="C19" s="713">
        <f>transport!B14</f>
        <v>2.9604381688010704</v>
      </c>
      <c r="D19" s="713">
        <f>transport!C14</f>
        <v>0</v>
      </c>
      <c r="E19" s="713">
        <f>transport!D14</f>
        <v>4.5546718474410106</v>
      </c>
      <c r="F19" s="713">
        <f>transport!E14</f>
        <v>141.00097425626026</v>
      </c>
      <c r="G19" s="713">
        <f>transport!F14</f>
        <v>0</v>
      </c>
      <c r="H19" s="713">
        <f>transport!G14</f>
        <v>37439.916553827978</v>
      </c>
      <c r="I19" s="713">
        <f>transport!H14</f>
        <v>6849.6129190587626</v>
      </c>
      <c r="J19" s="713">
        <f>transport!I14</f>
        <v>0</v>
      </c>
      <c r="K19" s="713">
        <f>transport!J14</f>
        <v>0</v>
      </c>
      <c r="L19" s="713">
        <f>transport!K14</f>
        <v>0</v>
      </c>
      <c r="M19" s="713">
        <f>transport!L14</f>
        <v>0</v>
      </c>
      <c r="N19" s="713">
        <f>transport!M14</f>
        <v>2002.2247305053804</v>
      </c>
      <c r="O19" s="713">
        <f>transport!N14</f>
        <v>0</v>
      </c>
      <c r="P19" s="713">
        <f>transport!O14</f>
        <v>0</v>
      </c>
      <c r="Q19" s="714">
        <f>transport!P14</f>
        <v>0</v>
      </c>
      <c r="R19" s="715">
        <f>SUM(C19:Q19)</f>
        <v>46440.270287664622</v>
      </c>
      <c r="S19" s="67"/>
    </row>
    <row r="20" spans="1:19" s="459" customFormat="1" ht="15.75" thickBot="1">
      <c r="A20" s="716" t="s">
        <v>230</v>
      </c>
      <c r="B20" s="866"/>
      <c r="C20" s="861">
        <f>SUM(C17:C19)</f>
        <v>735.68856378790713</v>
      </c>
      <c r="D20" s="717">
        <f t="shared" ref="D20:R20" si="1">SUM(D17:D19)</f>
        <v>0</v>
      </c>
      <c r="E20" s="717">
        <f t="shared" si="1"/>
        <v>4.5546718474410106</v>
      </c>
      <c r="F20" s="717">
        <f t="shared" si="1"/>
        <v>141.00097425626026</v>
      </c>
      <c r="G20" s="717">
        <f t="shared" si="1"/>
        <v>0</v>
      </c>
      <c r="H20" s="717">
        <f t="shared" si="1"/>
        <v>38842.726078527448</v>
      </c>
      <c r="I20" s="717">
        <f t="shared" si="1"/>
        <v>6849.6129190587626</v>
      </c>
      <c r="J20" s="717">
        <f t="shared" si="1"/>
        <v>0</v>
      </c>
      <c r="K20" s="717">
        <f t="shared" si="1"/>
        <v>0</v>
      </c>
      <c r="L20" s="717">
        <f t="shared" si="1"/>
        <v>0</v>
      </c>
      <c r="M20" s="717">
        <f t="shared" si="1"/>
        <v>0</v>
      </c>
      <c r="N20" s="717">
        <f t="shared" si="1"/>
        <v>2064.6111012235583</v>
      </c>
      <c r="O20" s="717">
        <f t="shared" si="1"/>
        <v>0</v>
      </c>
      <c r="P20" s="717">
        <f t="shared" si="1"/>
        <v>0</v>
      </c>
      <c r="Q20" s="718">
        <f t="shared" si="1"/>
        <v>0</v>
      </c>
      <c r="R20" s="719">
        <f t="shared" si="1"/>
        <v>48638.194308701379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2337.768</v>
      </c>
      <c r="D22" s="713">
        <f>+landbouw!C8</f>
        <v>125569.28571428572</v>
      </c>
      <c r="E22" s="713">
        <f>+landbouw!D8</f>
        <v>0</v>
      </c>
      <c r="F22" s="713">
        <f>+landbouw!E8</f>
        <v>29.45888845751594</v>
      </c>
      <c r="G22" s="713">
        <f>+landbouw!F8</f>
        <v>8065.8852458777756</v>
      </c>
      <c r="H22" s="713">
        <f>+landbouw!G8</f>
        <v>0</v>
      </c>
      <c r="I22" s="713">
        <f>+landbouw!H8</f>
        <v>0</v>
      </c>
      <c r="J22" s="713">
        <f>+landbouw!I8</f>
        <v>0</v>
      </c>
      <c r="K22" s="713">
        <f>+landbouw!J8</f>
        <v>351.57373239128827</v>
      </c>
      <c r="L22" s="713">
        <f>+landbouw!K8</f>
        <v>0</v>
      </c>
      <c r="M22" s="713">
        <f>+landbouw!L8</f>
        <v>0</v>
      </c>
      <c r="N22" s="713">
        <f>+landbouw!M8</f>
        <v>0</v>
      </c>
      <c r="O22" s="713">
        <f>+landbouw!N8</f>
        <v>0</v>
      </c>
      <c r="P22" s="713">
        <f>+landbouw!O8</f>
        <v>0</v>
      </c>
      <c r="Q22" s="714">
        <f>+landbouw!P8</f>
        <v>0</v>
      </c>
      <c r="R22" s="715">
        <f>SUM(C22:Q22)</f>
        <v>136353.9715810123</v>
      </c>
      <c r="S22" s="67"/>
    </row>
    <row r="23" spans="1:19" s="459" customFormat="1" ht="17.25" thickTop="1" thickBot="1">
      <c r="A23" s="720" t="s">
        <v>116</v>
      </c>
      <c r="B23" s="852"/>
      <c r="C23" s="721">
        <f ca="1">C20+C15+C22</f>
        <v>65289.90940208215</v>
      </c>
      <c r="D23" s="721">
        <f t="shared" ref="D23:Q23" ca="1" si="2">D20+D15+D22</f>
        <v>152190</v>
      </c>
      <c r="E23" s="721">
        <f t="shared" ca="1" si="2"/>
        <v>68769.696369847443</v>
      </c>
      <c r="F23" s="721">
        <f t="shared" si="2"/>
        <v>2233.5338508460313</v>
      </c>
      <c r="G23" s="721">
        <f t="shared" ca="1" si="2"/>
        <v>12950.045171630918</v>
      </c>
      <c r="H23" s="721">
        <f t="shared" si="2"/>
        <v>38842.726078527448</v>
      </c>
      <c r="I23" s="721">
        <f t="shared" si="2"/>
        <v>6849.6129190587626</v>
      </c>
      <c r="J23" s="721">
        <f t="shared" si="2"/>
        <v>0</v>
      </c>
      <c r="K23" s="721">
        <f t="shared" si="2"/>
        <v>351.63099119310272</v>
      </c>
      <c r="L23" s="721">
        <f t="shared" si="2"/>
        <v>0</v>
      </c>
      <c r="M23" s="721">
        <f t="shared" ca="1" si="2"/>
        <v>0</v>
      </c>
      <c r="N23" s="721">
        <f t="shared" si="2"/>
        <v>2064.6111012235583</v>
      </c>
      <c r="O23" s="721">
        <f t="shared" ca="1" si="2"/>
        <v>23481.089590025455</v>
      </c>
      <c r="P23" s="721">
        <f t="shared" si="2"/>
        <v>106.30666666666666</v>
      </c>
      <c r="Q23" s="722">
        <f t="shared" si="2"/>
        <v>400.4</v>
      </c>
      <c r="R23" s="723">
        <f ca="1">R20+R15+R22</f>
        <v>373529.56214110152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7193.7730790553051</v>
      </c>
      <c r="D36" s="704">
        <f ca="1">tertiair!C20</f>
        <v>6326.3344537815137</v>
      </c>
      <c r="E36" s="704">
        <f ca="1">tertiair!D20</f>
        <v>0</v>
      </c>
      <c r="F36" s="704">
        <f>tertiair!E20</f>
        <v>46.556508608440538</v>
      </c>
      <c r="G36" s="704">
        <f ca="1">tertiair!F20</f>
        <v>615.3201844540605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14181.984225899319</v>
      </c>
    </row>
    <row r="37" spans="1:18">
      <c r="A37" s="873" t="s">
        <v>225</v>
      </c>
      <c r="B37" s="880"/>
      <c r="C37" s="704">
        <f ca="1">huishoudens!B12</f>
        <v>5212.4985325119724</v>
      </c>
      <c r="D37" s="704">
        <f ca="1">huishoudens!C12</f>
        <v>0</v>
      </c>
      <c r="E37" s="704">
        <f>huishoudens!D12</f>
        <v>13454.848913880003</v>
      </c>
      <c r="F37" s="704">
        <f>huishoudens!E12</f>
        <v>249.85669964244147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18917.204146034419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2091.3384279074185</v>
      </c>
      <c r="D39" s="704">
        <f ca="1">industrie!C22</f>
        <v>0</v>
      </c>
      <c r="E39" s="704">
        <f>industrie!D22</f>
        <v>435.709709116</v>
      </c>
      <c r="F39" s="704">
        <f>industrie!E22</f>
        <v>171.90458705513996</v>
      </c>
      <c r="G39" s="704">
        <f>industrie!F22</f>
        <v>688.75051572202869</v>
      </c>
      <c r="H39" s="704">
        <f>industrie!G22</f>
        <v>0</v>
      </c>
      <c r="I39" s="704">
        <f>industrie!H22</f>
        <v>0</v>
      </c>
      <c r="J39" s="704">
        <f>industrie!I22</f>
        <v>0</v>
      </c>
      <c r="K39" s="704">
        <f>industrie!J22</f>
        <v>2.0269615842309605E-2</v>
      </c>
      <c r="L39" s="704">
        <f>industrie!K22</f>
        <v>0</v>
      </c>
      <c r="M39" s="704">
        <f>industrie!L22</f>
        <v>0</v>
      </c>
      <c r="N39" s="704">
        <f>industrie!M22</f>
        <v>0</v>
      </c>
      <c r="O39" s="704">
        <f>industrie!N22</f>
        <v>0</v>
      </c>
      <c r="P39" s="704">
        <f>industrie!O22</f>
        <v>0</v>
      </c>
      <c r="Q39" s="814">
        <f>industrie!P22</f>
        <v>0</v>
      </c>
      <c r="R39" s="906">
        <f ca="1">SUM(C39:Q39)</f>
        <v>3387.7235094164289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14497.610039474695</v>
      </c>
      <c r="D41" s="749">
        <f t="shared" ref="D41:R41" ca="1" si="4">SUM(D35:D40)</f>
        <v>6326.3344537815137</v>
      </c>
      <c r="E41" s="749">
        <f t="shared" ca="1" si="4"/>
        <v>13890.558622996003</v>
      </c>
      <c r="F41" s="749">
        <f t="shared" si="4"/>
        <v>468.31779530602194</v>
      </c>
      <c r="G41" s="749">
        <f t="shared" ca="1" si="4"/>
        <v>1304.0707001760893</v>
      </c>
      <c r="H41" s="749">
        <f t="shared" si="4"/>
        <v>0</v>
      </c>
      <c r="I41" s="749">
        <f t="shared" si="4"/>
        <v>0</v>
      </c>
      <c r="J41" s="749">
        <f t="shared" si="4"/>
        <v>0</v>
      </c>
      <c r="K41" s="749">
        <f t="shared" si="4"/>
        <v>2.0269615842309605E-2</v>
      </c>
      <c r="L41" s="749">
        <f t="shared" si="4"/>
        <v>0</v>
      </c>
      <c r="M41" s="749">
        <f t="shared" ca="1" si="4"/>
        <v>0</v>
      </c>
      <c r="N41" s="749">
        <f t="shared" si="4"/>
        <v>0</v>
      </c>
      <c r="O41" s="749">
        <f t="shared" ca="1" si="4"/>
        <v>0</v>
      </c>
      <c r="P41" s="749">
        <f t="shared" si="4"/>
        <v>0</v>
      </c>
      <c r="Q41" s="750">
        <f t="shared" si="4"/>
        <v>0</v>
      </c>
      <c r="R41" s="751">
        <f t="shared" ca="1" si="4"/>
        <v>36486.911881350163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170.73950933510451</v>
      </c>
      <c r="D44" s="704">
        <f ca="1">transport!C58</f>
        <v>0</v>
      </c>
      <c r="E44" s="704">
        <f>transport!D58</f>
        <v>0</v>
      </c>
      <c r="F44" s="704">
        <f>transport!E58</f>
        <v>0</v>
      </c>
      <c r="G44" s="704">
        <f>transport!F58</f>
        <v>0</v>
      </c>
      <c r="H44" s="704">
        <f>transport!G58</f>
        <v>374.55014309475877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545.28965242986328</v>
      </c>
    </row>
    <row r="45" spans="1:18" ht="15" thickBot="1">
      <c r="A45" s="876" t="s">
        <v>307</v>
      </c>
      <c r="B45" s="886"/>
      <c r="C45" s="713">
        <f ca="1">transport!B18</f>
        <v>0.68983807593154289</v>
      </c>
      <c r="D45" s="713">
        <f>transport!C18</f>
        <v>0</v>
      </c>
      <c r="E45" s="713">
        <f>transport!D18</f>
        <v>0.9200437131830842</v>
      </c>
      <c r="F45" s="713">
        <f>transport!E18</f>
        <v>32.007221156171084</v>
      </c>
      <c r="G45" s="713">
        <f>transport!F18</f>
        <v>0</v>
      </c>
      <c r="H45" s="713">
        <f>transport!G18</f>
        <v>9996.4577198720708</v>
      </c>
      <c r="I45" s="713">
        <f>transport!H18</f>
        <v>1705.553616845632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11735.628439662989</v>
      </c>
    </row>
    <row r="46" spans="1:18" ht="15.75" thickBot="1">
      <c r="A46" s="874" t="s">
        <v>230</v>
      </c>
      <c r="B46" s="887"/>
      <c r="C46" s="749">
        <f t="shared" ref="C46:R46" ca="1" si="5">SUM(C43:C45)</f>
        <v>171.42934741103605</v>
      </c>
      <c r="D46" s="749">
        <f t="shared" ca="1" si="5"/>
        <v>0</v>
      </c>
      <c r="E46" s="749">
        <f t="shared" si="5"/>
        <v>0.9200437131830842</v>
      </c>
      <c r="F46" s="749">
        <f t="shared" si="5"/>
        <v>32.007221156171084</v>
      </c>
      <c r="G46" s="749">
        <f t="shared" si="5"/>
        <v>0</v>
      </c>
      <c r="H46" s="749">
        <f t="shared" si="5"/>
        <v>10371.00786296683</v>
      </c>
      <c r="I46" s="749">
        <f t="shared" si="5"/>
        <v>1705.553616845632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12280.918092092852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544.74415175758975</v>
      </c>
      <c r="D48" s="704">
        <f ca="1">+landbouw!C12</f>
        <v>29841.171428571437</v>
      </c>
      <c r="E48" s="704">
        <f>+landbouw!D12</f>
        <v>0</v>
      </c>
      <c r="F48" s="704">
        <f>+landbouw!E12</f>
        <v>6.6871676798561186</v>
      </c>
      <c r="G48" s="704">
        <f>+landbouw!F12</f>
        <v>2153.5913606493664</v>
      </c>
      <c r="H48" s="704">
        <f>+landbouw!G12</f>
        <v>0</v>
      </c>
      <c r="I48" s="704">
        <f>+landbouw!H12</f>
        <v>0</v>
      </c>
      <c r="J48" s="704">
        <f>+landbouw!I12</f>
        <v>0</v>
      </c>
      <c r="K48" s="704">
        <f>+landbouw!J12</f>
        <v>124.45710126651605</v>
      </c>
      <c r="L48" s="704">
        <f>+landbouw!K12</f>
        <v>0</v>
      </c>
      <c r="M48" s="704">
        <f>+landbouw!L12</f>
        <v>0</v>
      </c>
      <c r="N48" s="704">
        <f>+landbouw!M12</f>
        <v>0</v>
      </c>
      <c r="O48" s="704">
        <f>+landbouw!N12</f>
        <v>0</v>
      </c>
      <c r="P48" s="704">
        <f>+landbouw!O12</f>
        <v>0</v>
      </c>
      <c r="Q48" s="705">
        <f>+landbouw!P12</f>
        <v>0</v>
      </c>
      <c r="R48" s="747">
        <f ca="1">SUM(C48:Q48)</f>
        <v>32670.651209924763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15213.783538643322</v>
      </c>
      <c r="D53" s="759">
        <f t="shared" ref="D53:Q53" ca="1" si="6">D41+D46+D48</f>
        <v>36167.505882352954</v>
      </c>
      <c r="E53" s="759">
        <f t="shared" ca="1" si="6"/>
        <v>13891.478666709187</v>
      </c>
      <c r="F53" s="759">
        <f t="shared" si="6"/>
        <v>507.01218414204919</v>
      </c>
      <c r="G53" s="759">
        <f t="shared" ca="1" si="6"/>
        <v>3457.6620608254557</v>
      </c>
      <c r="H53" s="759">
        <f t="shared" si="6"/>
        <v>10371.00786296683</v>
      </c>
      <c r="I53" s="759">
        <f t="shared" si="6"/>
        <v>1705.553616845632</v>
      </c>
      <c r="J53" s="759">
        <f t="shared" si="6"/>
        <v>0</v>
      </c>
      <c r="K53" s="759">
        <f t="shared" si="6"/>
        <v>124.47737088235836</v>
      </c>
      <c r="L53" s="759">
        <f t="shared" si="6"/>
        <v>0</v>
      </c>
      <c r="M53" s="759">
        <f t="shared" ca="1" si="6"/>
        <v>0</v>
      </c>
      <c r="N53" s="759">
        <f t="shared" si="6"/>
        <v>0</v>
      </c>
      <c r="O53" s="759">
        <f t="shared" ca="1" si="6"/>
        <v>0</v>
      </c>
      <c r="P53" s="759">
        <f>P41+P46+P48</f>
        <v>0</v>
      </c>
      <c r="Q53" s="760">
        <f t="shared" si="6"/>
        <v>0</v>
      </c>
      <c r="R53" s="761">
        <f ca="1">R41+R46+R48</f>
        <v>81438.481183367781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0.23301891024155932</v>
      </c>
      <c r="D55" s="824">
        <f t="shared" ca="1" si="7"/>
        <v>0.23764705882352949</v>
      </c>
      <c r="E55" s="824">
        <f t="shared" ca="1" si="7"/>
        <v>0.20200000000000004</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2115.9250653601148</v>
      </c>
      <c r="C66" s="781">
        <f>'lokale energieproductie'!B6</f>
        <v>2115.9250653601148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106533</v>
      </c>
      <c r="C67" s="780">
        <f>B67*IFERROR(SUM(J67:L67)/SUM(D67:M67),0)</f>
        <v>0</v>
      </c>
      <c r="D67" s="812">
        <f>'lokale energieproductie'!C7</f>
        <v>125332.94117647059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25317.254117647059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108648.92506536012</v>
      </c>
      <c r="C69" s="789">
        <f>SUM(C64:C68)</f>
        <v>2115.9250653601148</v>
      </c>
      <c r="D69" s="790">
        <f t="shared" ref="D69:M69" si="8">SUM(D67:D68)</f>
        <v>125332.94117647059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25317.254117647059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152190</v>
      </c>
      <c r="C78" s="803">
        <f>B78*IFERROR(SUM(I78:L78)/SUM(D78:M78),0)</f>
        <v>0</v>
      </c>
      <c r="D78" s="818">
        <f>'lokale energieproductie'!C16</f>
        <v>179047.05882352943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36167.505882352947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152190</v>
      </c>
      <c r="C81" s="789">
        <f>SUM(C78:C80)</f>
        <v>0</v>
      </c>
      <c r="D81" s="789">
        <f t="shared" ref="D81:P81" si="9">SUM(D78:D80)</f>
        <v>179047.05882352943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36167.505882352947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22369.422838294235</v>
      </c>
      <c r="C4" s="463">
        <f>huishoudens!C8</f>
        <v>0</v>
      </c>
      <c r="D4" s="463">
        <f>huishoudens!D8</f>
        <v>66608.162940000009</v>
      </c>
      <c r="E4" s="463">
        <f>huishoudens!E8</f>
        <v>1100.6903067948963</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9003.072044546765</v>
      </c>
      <c r="O4" s="463">
        <f>huishoudens!O8</f>
        <v>103.17999999999999</v>
      </c>
      <c r="P4" s="464">
        <f>huishoudens!P8</f>
        <v>400.4</v>
      </c>
      <c r="Q4" s="465">
        <f>SUM(B4:P4)</f>
        <v>99584.928129635897</v>
      </c>
    </row>
    <row r="5" spans="1:17">
      <c r="A5" s="462" t="s">
        <v>156</v>
      </c>
      <c r="B5" s="463">
        <f ca="1">tertiair!B16</f>
        <v>30183.427000000003</v>
      </c>
      <c r="C5" s="463">
        <f ca="1">tertiair!C16</f>
        <v>26620.714285714286</v>
      </c>
      <c r="D5" s="463">
        <f ca="1">tertiair!D16</f>
        <v>0</v>
      </c>
      <c r="E5" s="463">
        <f>tertiair!E16</f>
        <v>205.09475157903319</v>
      </c>
      <c r="F5" s="463">
        <f ca="1">tertiair!F16</f>
        <v>2304.569979228691</v>
      </c>
      <c r="G5" s="463">
        <f>tertiair!G16</f>
        <v>0</v>
      </c>
      <c r="H5" s="463">
        <f>tertiair!H16</f>
        <v>0</v>
      </c>
      <c r="I5" s="463">
        <f>tertiair!I16</f>
        <v>0</v>
      </c>
      <c r="J5" s="463">
        <f>tertiair!J16</f>
        <v>0</v>
      </c>
      <c r="K5" s="463">
        <f>tertiair!K16</f>
        <v>0</v>
      </c>
      <c r="L5" s="463">
        <f ca="1">tertiair!L16</f>
        <v>0</v>
      </c>
      <c r="M5" s="463">
        <f>tertiair!M16</f>
        <v>0</v>
      </c>
      <c r="N5" s="463">
        <f ca="1">tertiair!N16</f>
        <v>499.99214292651089</v>
      </c>
      <c r="O5" s="463">
        <f>tertiair!O16</f>
        <v>3.1266666666666669</v>
      </c>
      <c r="P5" s="464">
        <f>tertiair!P16</f>
        <v>0</v>
      </c>
      <c r="Q5" s="462">
        <f t="shared" ref="Q5:Q13" ca="1" si="0">SUM(B5:P5)</f>
        <v>59816.924826115181</v>
      </c>
    </row>
    <row r="6" spans="1:17">
      <c r="A6" s="462" t="s">
        <v>194</v>
      </c>
      <c r="B6" s="463">
        <f>'openbare verlichting'!B8</f>
        <v>688.63</v>
      </c>
      <c r="C6" s="463"/>
      <c r="D6" s="463"/>
      <c r="E6" s="463"/>
      <c r="F6" s="463"/>
      <c r="G6" s="463"/>
      <c r="H6" s="463"/>
      <c r="I6" s="463"/>
      <c r="J6" s="463"/>
      <c r="K6" s="463"/>
      <c r="L6" s="463"/>
      <c r="M6" s="463"/>
      <c r="N6" s="463"/>
      <c r="O6" s="463"/>
      <c r="P6" s="464"/>
      <c r="Q6" s="462">
        <f t="shared" si="0"/>
        <v>688.63</v>
      </c>
    </row>
    <row r="7" spans="1:17">
      <c r="A7" s="462" t="s">
        <v>112</v>
      </c>
      <c r="B7" s="463">
        <f>landbouw!B8</f>
        <v>2337.768</v>
      </c>
      <c r="C7" s="463">
        <f>landbouw!C8</f>
        <v>125569.28571428572</v>
      </c>
      <c r="D7" s="463">
        <f>landbouw!D8</f>
        <v>0</v>
      </c>
      <c r="E7" s="463">
        <f>landbouw!E8</f>
        <v>29.45888845751594</v>
      </c>
      <c r="F7" s="463">
        <f>landbouw!F8</f>
        <v>8065.8852458777756</v>
      </c>
      <c r="G7" s="463">
        <f>landbouw!G8</f>
        <v>0</v>
      </c>
      <c r="H7" s="463">
        <f>landbouw!H8</f>
        <v>0</v>
      </c>
      <c r="I7" s="463">
        <f>landbouw!I8</f>
        <v>0</v>
      </c>
      <c r="J7" s="463">
        <f>landbouw!J8</f>
        <v>351.57373239128827</v>
      </c>
      <c r="K7" s="463">
        <f>landbouw!K8</f>
        <v>0</v>
      </c>
      <c r="L7" s="463">
        <f>landbouw!L8</f>
        <v>0</v>
      </c>
      <c r="M7" s="463">
        <f>landbouw!M8</f>
        <v>0</v>
      </c>
      <c r="N7" s="463">
        <f>landbouw!N8</f>
        <v>0</v>
      </c>
      <c r="O7" s="463">
        <f>landbouw!O8</f>
        <v>0</v>
      </c>
      <c r="P7" s="464">
        <f>landbouw!P8</f>
        <v>0</v>
      </c>
      <c r="Q7" s="462">
        <f t="shared" si="0"/>
        <v>136353.9715810123</v>
      </c>
    </row>
    <row r="8" spans="1:17">
      <c r="A8" s="462" t="s">
        <v>657</v>
      </c>
      <c r="B8" s="463">
        <f>industrie!B18</f>
        <v>8974.973</v>
      </c>
      <c r="C8" s="463">
        <f>industrie!C18</f>
        <v>0</v>
      </c>
      <c r="D8" s="463">
        <f>industrie!D18</f>
        <v>2156.9787579999997</v>
      </c>
      <c r="E8" s="463">
        <f>industrie!E18</f>
        <v>757.28892975832582</v>
      </c>
      <c r="F8" s="463">
        <f>industrie!F18</f>
        <v>2579.589946524452</v>
      </c>
      <c r="G8" s="463">
        <f>industrie!G18</f>
        <v>0</v>
      </c>
      <c r="H8" s="463">
        <f>industrie!H18</f>
        <v>0</v>
      </c>
      <c r="I8" s="463">
        <f>industrie!I18</f>
        <v>0</v>
      </c>
      <c r="J8" s="463">
        <f>industrie!J18</f>
        <v>5.7258801814433914E-2</v>
      </c>
      <c r="K8" s="463">
        <f>industrie!K18</f>
        <v>0</v>
      </c>
      <c r="L8" s="463">
        <f>industrie!L18</f>
        <v>0</v>
      </c>
      <c r="M8" s="463">
        <f>industrie!M18</f>
        <v>0</v>
      </c>
      <c r="N8" s="463">
        <f>industrie!N18</f>
        <v>13978.025402552177</v>
      </c>
      <c r="O8" s="463">
        <f>industrie!O18</f>
        <v>0</v>
      </c>
      <c r="P8" s="464">
        <f>industrie!P18</f>
        <v>0</v>
      </c>
      <c r="Q8" s="462">
        <f t="shared" si="0"/>
        <v>28446.913295636768</v>
      </c>
    </row>
    <row r="9" spans="1:17" s="468" customFormat="1">
      <c r="A9" s="466" t="s">
        <v>574</v>
      </c>
      <c r="B9" s="467">
        <f>transport!B14</f>
        <v>2.9604381688010704</v>
      </c>
      <c r="C9" s="467"/>
      <c r="D9" s="467">
        <f>transport!D14</f>
        <v>4.5546718474410106</v>
      </c>
      <c r="E9" s="467">
        <f>transport!E14</f>
        <v>141.00097425626026</v>
      </c>
      <c r="F9" s="467"/>
      <c r="G9" s="467">
        <f>transport!G14</f>
        <v>37439.916553827978</v>
      </c>
      <c r="H9" s="467">
        <f>transport!H14</f>
        <v>6849.6129190587626</v>
      </c>
      <c r="I9" s="467"/>
      <c r="J9" s="467"/>
      <c r="K9" s="467"/>
      <c r="L9" s="467"/>
      <c r="M9" s="467">
        <f>transport!M14</f>
        <v>2002.2247305053804</v>
      </c>
      <c r="N9" s="467"/>
      <c r="O9" s="467"/>
      <c r="P9" s="467"/>
      <c r="Q9" s="466">
        <f>SUM(B9:P9)</f>
        <v>46440.270287664622</v>
      </c>
    </row>
    <row r="10" spans="1:17">
      <c r="A10" s="462" t="s">
        <v>564</v>
      </c>
      <c r="B10" s="463">
        <f>transport!B54</f>
        <v>732.72812561910609</v>
      </c>
      <c r="C10" s="463"/>
      <c r="D10" s="463">
        <f>transport!D54</f>
        <v>0</v>
      </c>
      <c r="E10" s="463"/>
      <c r="F10" s="463"/>
      <c r="G10" s="463">
        <f>transport!G54</f>
        <v>1402.809524699471</v>
      </c>
      <c r="H10" s="463"/>
      <c r="I10" s="463"/>
      <c r="J10" s="463"/>
      <c r="K10" s="463"/>
      <c r="L10" s="463"/>
      <c r="M10" s="463">
        <f>transport!M54</f>
        <v>62.386370718177695</v>
      </c>
      <c r="N10" s="463"/>
      <c r="O10" s="463"/>
      <c r="P10" s="464"/>
      <c r="Q10" s="462">
        <f t="shared" si="0"/>
        <v>2197.9240210367548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65289.909402082143</v>
      </c>
      <c r="C14" s="473">
        <f t="shared" ref="C14:Q14" ca="1" si="1">SUM(C4:C13)</f>
        <v>152190</v>
      </c>
      <c r="D14" s="473">
        <f t="shared" ca="1" si="1"/>
        <v>68769.696369847443</v>
      </c>
      <c r="E14" s="473">
        <f t="shared" si="1"/>
        <v>2233.5338508460313</v>
      </c>
      <c r="F14" s="473">
        <f t="shared" ca="1" si="1"/>
        <v>12950.045171630918</v>
      </c>
      <c r="G14" s="473">
        <f t="shared" si="1"/>
        <v>38842.726078527448</v>
      </c>
      <c r="H14" s="473">
        <f t="shared" si="1"/>
        <v>6849.6129190587626</v>
      </c>
      <c r="I14" s="473">
        <f t="shared" si="1"/>
        <v>0</v>
      </c>
      <c r="J14" s="473">
        <f t="shared" si="1"/>
        <v>351.63099119310272</v>
      </c>
      <c r="K14" s="473">
        <f t="shared" si="1"/>
        <v>0</v>
      </c>
      <c r="L14" s="473">
        <f t="shared" ca="1" si="1"/>
        <v>0</v>
      </c>
      <c r="M14" s="473">
        <f t="shared" si="1"/>
        <v>2064.6111012235583</v>
      </c>
      <c r="N14" s="473">
        <f t="shared" ca="1" si="1"/>
        <v>23481.089590025455</v>
      </c>
      <c r="O14" s="473">
        <f t="shared" si="1"/>
        <v>106.30666666666666</v>
      </c>
      <c r="P14" s="474">
        <f t="shared" si="1"/>
        <v>400.4</v>
      </c>
      <c r="Q14" s="474">
        <f t="shared" ca="1" si="1"/>
        <v>373529.56214110152</v>
      </c>
    </row>
    <row r="16" spans="1:17">
      <c r="A16" s="476" t="s">
        <v>569</v>
      </c>
      <c r="B16" s="829">
        <f ca="1">huishoudens!B10</f>
        <v>0.23301891024155935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5212.4985325119724</v>
      </c>
      <c r="C21" s="463">
        <f t="shared" ref="C21:C28" ca="1" si="3">C4*$C$16</f>
        <v>0</v>
      </c>
      <c r="D21" s="463">
        <f t="shared" ref="D21:D30" si="4">D4*$D$16</f>
        <v>13454.848913880003</v>
      </c>
      <c r="E21" s="463">
        <f t="shared" ref="E21:E30" si="5">E4*$E$16</f>
        <v>249.85669964244147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18917.204146034419</v>
      </c>
    </row>
    <row r="22" spans="1:17">
      <c r="A22" s="462" t="s">
        <v>156</v>
      </c>
      <c r="B22" s="463">
        <f t="shared" ca="1" si="2"/>
        <v>7033.3092668956597</v>
      </c>
      <c r="C22" s="463">
        <f t="shared" ca="1" si="3"/>
        <v>6326.3344537815137</v>
      </c>
      <c r="D22" s="463">
        <f t="shared" ca="1" si="4"/>
        <v>0</v>
      </c>
      <c r="E22" s="463">
        <f t="shared" si="5"/>
        <v>46.556508608440538</v>
      </c>
      <c r="F22" s="463">
        <f t="shared" ca="1" si="6"/>
        <v>615.3201844540605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14021.520413739674</v>
      </c>
    </row>
    <row r="23" spans="1:17">
      <c r="A23" s="462" t="s">
        <v>194</v>
      </c>
      <c r="B23" s="463">
        <f t="shared" ca="1" si="2"/>
        <v>160.46381215964502</v>
      </c>
      <c r="C23" s="463"/>
      <c r="D23" s="463"/>
      <c r="E23" s="463"/>
      <c r="F23" s="463"/>
      <c r="G23" s="463"/>
      <c r="H23" s="463"/>
      <c r="I23" s="463"/>
      <c r="J23" s="463"/>
      <c r="K23" s="463"/>
      <c r="L23" s="463"/>
      <c r="M23" s="463"/>
      <c r="N23" s="463"/>
      <c r="O23" s="463"/>
      <c r="P23" s="464"/>
      <c r="Q23" s="462">
        <f t="shared" ca="1" si="17"/>
        <v>160.46381215964502</v>
      </c>
    </row>
    <row r="24" spans="1:17">
      <c r="A24" s="462" t="s">
        <v>112</v>
      </c>
      <c r="B24" s="463">
        <f t="shared" ca="1" si="2"/>
        <v>544.74415175758975</v>
      </c>
      <c r="C24" s="463">
        <f t="shared" ca="1" si="3"/>
        <v>29841.171428571437</v>
      </c>
      <c r="D24" s="463">
        <f t="shared" si="4"/>
        <v>0</v>
      </c>
      <c r="E24" s="463">
        <f t="shared" si="5"/>
        <v>6.6871676798561186</v>
      </c>
      <c r="F24" s="463">
        <f t="shared" si="6"/>
        <v>2153.5913606493664</v>
      </c>
      <c r="G24" s="463">
        <f t="shared" si="7"/>
        <v>0</v>
      </c>
      <c r="H24" s="463">
        <f t="shared" si="8"/>
        <v>0</v>
      </c>
      <c r="I24" s="463">
        <f t="shared" si="9"/>
        <v>0</v>
      </c>
      <c r="J24" s="463">
        <f t="shared" si="10"/>
        <v>124.45710126651605</v>
      </c>
      <c r="K24" s="463">
        <f t="shared" si="11"/>
        <v>0</v>
      </c>
      <c r="L24" s="463">
        <f t="shared" si="12"/>
        <v>0</v>
      </c>
      <c r="M24" s="463">
        <f t="shared" si="13"/>
        <v>0</v>
      </c>
      <c r="N24" s="463">
        <f t="shared" si="14"/>
        <v>0</v>
      </c>
      <c r="O24" s="463">
        <f t="shared" si="15"/>
        <v>0</v>
      </c>
      <c r="P24" s="464">
        <f t="shared" si="16"/>
        <v>0</v>
      </c>
      <c r="Q24" s="462">
        <f t="shared" ca="1" si="17"/>
        <v>32670.651209924763</v>
      </c>
    </row>
    <row r="25" spans="1:17">
      <c r="A25" s="462" t="s">
        <v>657</v>
      </c>
      <c r="B25" s="463">
        <f t="shared" ca="1" si="2"/>
        <v>2091.3384279074185</v>
      </c>
      <c r="C25" s="463">
        <f t="shared" ca="1" si="3"/>
        <v>0</v>
      </c>
      <c r="D25" s="463">
        <f t="shared" si="4"/>
        <v>435.709709116</v>
      </c>
      <c r="E25" s="463">
        <f t="shared" si="5"/>
        <v>171.90458705513996</v>
      </c>
      <c r="F25" s="463">
        <f t="shared" si="6"/>
        <v>688.75051572202869</v>
      </c>
      <c r="G25" s="463">
        <f t="shared" si="7"/>
        <v>0</v>
      </c>
      <c r="H25" s="463">
        <f t="shared" si="8"/>
        <v>0</v>
      </c>
      <c r="I25" s="463">
        <f t="shared" si="9"/>
        <v>0</v>
      </c>
      <c r="J25" s="463">
        <f t="shared" si="10"/>
        <v>2.0269615842309605E-2</v>
      </c>
      <c r="K25" s="463">
        <f t="shared" si="11"/>
        <v>0</v>
      </c>
      <c r="L25" s="463">
        <f t="shared" si="12"/>
        <v>0</v>
      </c>
      <c r="M25" s="463">
        <f t="shared" si="13"/>
        <v>0</v>
      </c>
      <c r="N25" s="463">
        <f t="shared" si="14"/>
        <v>0</v>
      </c>
      <c r="O25" s="463">
        <f t="shared" si="15"/>
        <v>0</v>
      </c>
      <c r="P25" s="464">
        <f t="shared" si="16"/>
        <v>0</v>
      </c>
      <c r="Q25" s="462">
        <f t="shared" ca="1" si="17"/>
        <v>3387.7235094164289</v>
      </c>
    </row>
    <row r="26" spans="1:17" s="468" customFormat="1">
      <c r="A26" s="466" t="s">
        <v>574</v>
      </c>
      <c r="B26" s="823">
        <f t="shared" ca="1" si="2"/>
        <v>0.68983807593154289</v>
      </c>
      <c r="C26" s="467"/>
      <c r="D26" s="467">
        <f t="shared" si="4"/>
        <v>0.9200437131830842</v>
      </c>
      <c r="E26" s="467">
        <f t="shared" si="5"/>
        <v>32.007221156171084</v>
      </c>
      <c r="F26" s="467"/>
      <c r="G26" s="467">
        <f t="shared" si="7"/>
        <v>9996.4577198720708</v>
      </c>
      <c r="H26" s="467">
        <f t="shared" si="8"/>
        <v>1705.553616845632</v>
      </c>
      <c r="I26" s="467"/>
      <c r="J26" s="467"/>
      <c r="K26" s="467"/>
      <c r="L26" s="467"/>
      <c r="M26" s="467">
        <f t="shared" si="13"/>
        <v>0</v>
      </c>
      <c r="N26" s="467"/>
      <c r="O26" s="467"/>
      <c r="P26" s="478"/>
      <c r="Q26" s="466">
        <f t="shared" ca="1" si="17"/>
        <v>11735.628439662989</v>
      </c>
    </row>
    <row r="27" spans="1:17">
      <c r="A27" s="462" t="s">
        <v>564</v>
      </c>
      <c r="B27" s="463">
        <f t="shared" ca="1" si="2"/>
        <v>170.73950933510451</v>
      </c>
      <c r="C27" s="463"/>
      <c r="D27" s="467">
        <f t="shared" si="4"/>
        <v>0</v>
      </c>
      <c r="E27" s="463"/>
      <c r="F27" s="463"/>
      <c r="G27" s="463">
        <f t="shared" si="7"/>
        <v>374.55014309475877</v>
      </c>
      <c r="H27" s="463"/>
      <c r="I27" s="463"/>
      <c r="J27" s="463"/>
      <c r="K27" s="463"/>
      <c r="L27" s="463"/>
      <c r="M27" s="463">
        <f t="shared" si="13"/>
        <v>0</v>
      </c>
      <c r="N27" s="463"/>
      <c r="O27" s="463"/>
      <c r="P27" s="464"/>
      <c r="Q27" s="462">
        <f t="shared" ca="1" si="17"/>
        <v>545.28965242986328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15213.783538643322</v>
      </c>
      <c r="C31" s="473">
        <f t="shared" ca="1" si="18"/>
        <v>36167.505882352954</v>
      </c>
      <c r="D31" s="473">
        <f t="shared" ca="1" si="18"/>
        <v>13891.478666709187</v>
      </c>
      <c r="E31" s="473">
        <f t="shared" si="18"/>
        <v>507.01218414204925</v>
      </c>
      <c r="F31" s="473">
        <f t="shared" ca="1" si="18"/>
        <v>3457.6620608254552</v>
      </c>
      <c r="G31" s="473">
        <f t="shared" si="18"/>
        <v>10371.00786296683</v>
      </c>
      <c r="H31" s="473">
        <f t="shared" si="18"/>
        <v>1705.553616845632</v>
      </c>
      <c r="I31" s="473">
        <f t="shared" si="18"/>
        <v>0</v>
      </c>
      <c r="J31" s="473">
        <f t="shared" si="18"/>
        <v>124.47737088235836</v>
      </c>
      <c r="K31" s="473">
        <f t="shared" si="18"/>
        <v>0</v>
      </c>
      <c r="L31" s="473">
        <f t="shared" ca="1" si="18"/>
        <v>0</v>
      </c>
      <c r="M31" s="473">
        <f t="shared" si="18"/>
        <v>0</v>
      </c>
      <c r="N31" s="473">
        <f t="shared" ca="1" si="18"/>
        <v>0</v>
      </c>
      <c r="O31" s="473">
        <f t="shared" si="18"/>
        <v>0</v>
      </c>
      <c r="P31" s="474">
        <f t="shared" si="18"/>
        <v>0</v>
      </c>
      <c r="Q31" s="474">
        <f t="shared" ca="1" si="18"/>
        <v>81438.481183367796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0.23301891024155935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0.23301891024155935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0.23301891024155935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2019-01-02T18:01:42Z</dcterms:modified>
</cp:coreProperties>
</file>