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101" i="18"/>
  <c r="E16" s="1"/>
  <c r="F78" i="14" s="1"/>
  <c r="G101" i="18"/>
  <c r="C101"/>
  <c r="I11" i="48"/>
  <c r="N19" i="19"/>
  <c r="O35" i="14" s="1"/>
  <c r="B8" i="9"/>
  <c r="B6" i="48" s="1"/>
  <c r="Q6" s="1"/>
  <c r="P18" i="16"/>
  <c r="P8" i="48" s="1"/>
  <c r="P25" s="1"/>
  <c r="G22" i="14"/>
  <c r="F8" i="17"/>
  <c r="F7" i="48" s="1"/>
  <c r="F2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J15"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B50" i="13"/>
  <c r="P24" i="48"/>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E22" l="1"/>
  <c r="D12" i="17"/>
  <c r="E48" i="14" s="1"/>
  <c r="D7" i="48"/>
  <c r="D24" s="1"/>
  <c r="F81" i="14"/>
  <c r="F12" i="17"/>
  <c r="G48" i="14" s="1"/>
  <c r="I101" i="18"/>
  <c r="H16" s="1"/>
  <c r="I78" i="14" s="1"/>
  <c r="I81" s="1"/>
  <c r="L28" i="48"/>
  <c r="K22" i="14"/>
  <c r="P22" i="16"/>
  <c r="Q39" i="14" s="1"/>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H14" i="22" l="1"/>
  <c r="H9" i="48" s="1"/>
  <c r="E13" i="14"/>
  <c r="H19" i="18"/>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46" i="14" l="1"/>
  <c r="N53" s="1"/>
  <c r="H18" i="22"/>
  <c r="I45" i="14" s="1"/>
  <c r="I46" s="1"/>
  <c r="I53" s="1"/>
  <c r="I19"/>
  <c r="I20" s="1"/>
  <c r="I23" s="1"/>
  <c r="O31" i="48"/>
  <c r="R22"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Q5" i="48"/>
  <c r="F8"/>
  <c r="Q4"/>
  <c r="N22"/>
  <c r="R11" i="14"/>
  <c r="J21" i="48"/>
  <c r="R10" i="14"/>
  <c r="C20" i="16" l="1"/>
  <c r="C22" s="1"/>
  <c r="D39" i="14" s="1"/>
  <c r="C18" i="15"/>
  <c r="C20" s="1"/>
  <c r="D36" i="14" s="1"/>
  <c r="C10" i="13"/>
  <c r="C16" i="48" s="1"/>
  <c r="C25" s="1"/>
  <c r="C16" i="22"/>
  <c r="C10" i="17"/>
  <c r="C12" s="1"/>
  <c r="D48" i="14" s="1"/>
  <c r="C56" i="22"/>
  <c r="C58" s="1"/>
  <c r="D44" i="14" s="1"/>
  <c r="D46" s="1"/>
  <c r="C17" i="49"/>
  <c r="C29" i="20"/>
  <c r="C17" i="19"/>
  <c r="C19" s="1"/>
  <c r="D35" i="14" s="1"/>
  <c r="J14" i="48"/>
  <c r="O13" i="14"/>
  <c r="O15" s="1"/>
  <c r="F22" i="16"/>
  <c r="G39" i="14" s="1"/>
  <c r="G41" s="1"/>
  <c r="N22" i="16"/>
  <c r="O39" i="14" s="1"/>
  <c r="O41" s="1"/>
  <c r="K13"/>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G53"/>
  <c r="G55" s="1"/>
  <c r="O69" s="1"/>
  <c r="B9" i="6" s="1"/>
  <c r="B12" s="1"/>
  <c r="M53" i="14"/>
  <c r="M55" s="1"/>
  <c r="C12" i="13"/>
  <c r="D37" i="14" s="1"/>
  <c r="D41" s="1"/>
  <c r="C24" i="48"/>
  <c r="C28"/>
  <c r="C21"/>
  <c r="F25"/>
  <c r="F31" s="1"/>
  <c r="F14"/>
  <c r="R13" i="14" l="1"/>
  <c r="R15" s="1"/>
  <c r="C22" i="48"/>
  <c r="K55" i="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<sst xmlns="http://schemas.openxmlformats.org/spreadsheetml/2006/main" count="2223" uniqueCount="924">
  <si>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</si>
  <si>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</si>
  <si>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</si>
  <si>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</si>
  <si>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</si>
  <si>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</si>
  <si>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</si>
  <si>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</si>
  <si>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</si>
  <si>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</si>
  <si>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</si>
  <si>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</si>
  <si>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</si>
  <si>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</si>
  <si>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</si>
  <si>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</si>
  <si>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</si>
  <si>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</si>
  <si>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</si>
  <si>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</si>
  <si>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</si>
  <si>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</si>
  <si>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</si>
  <si>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</si>
  <si>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</si>
  <si>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</si>
  <si>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</si>
  <si>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</si>
  <si>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</si>
  <si>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</si>
  <si>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</si>
  <si>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</si>
  <si>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</si>
  <si>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</si>
  <si>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</si>
  <si>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</si>
  <si>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</si>
  <si>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</si>
  <si>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</si>
  <si>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</si>
  <si>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</si>
  <si>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</si>
  <si>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</si>
  <si>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</si>
  <si>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</si>
  <si>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</si>
  <si>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</si>
  <si>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</si>
  <si>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</si>
  <si>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</si>
  <si>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</si>
  <si>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</si>
  <si>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</si>
  <si>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</si>
  <si>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</si>
  <si>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</si>
  <si>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</si>
  <si>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</si>
  <si>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</si>
  <si>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</si>
  <si>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</si>
  <si>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</si>
  <si>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</si>
  <si>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</si>
  <si>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</si>
  <si>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</si>
  <si>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</si>
  <si>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</si>
  <si>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</si>
  <si>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</si>
  <si>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</si>
  <si>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</si>
  <si>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</si>
  <si>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</si>
  <si>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</si>
  <si>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</si>
  <si>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</si>
  <si>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</si>
  <si>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</si>
  <si>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</si>
  <si>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</si>
  <si>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</si>
  <si>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</si>
  <si>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</si>
  <si>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</si>
  <si>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</si>
  <si>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</si>
  <si>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</si>
  <si>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</si>
  <si>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</si>
  <si>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</si>
  <si>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</si>
  <si>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</si>
  <si>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</si>
  <si>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</si>
  <si>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</si>
  <si>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</si>
  <si>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</si>
  <si>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</si>
  <si>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</si>
  <si>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</si>
  <si>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</si>
  <si>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</si>
  <si>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</si>
  <si>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</si>
  <si>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</si>
  <si>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</si>
  <si>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</si>
  <si>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</si>
  <si>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</si>
  <si>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</si>
  <si>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</si>
  <si>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</si>
  <si>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</si>
  <si>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</si>
  <si>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</si>
  <si>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</si>
  <si>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</si>
  <si>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</si>
  <si>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</si>
  <si>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</si>
  <si>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</si>
  <si>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</si>
  <si>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</si>
  <si>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</si>
  <si>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</si>
  <si>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</si>
  <si>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</si>
  <si>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</si>
  <si>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</si>
  <si>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</si>
  <si>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</si>
  <si>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</si>
  <si>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</si>
  <si>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</si>
  <si>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</si>
  <si>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</si>
  <si>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</si>
  <si>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</si>
  <si>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</si>
  <si>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</si>
  <si>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</si>
  <si>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</si>
  <si>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</si>
  <si>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</si>
  <si>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</si>
  <si>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</si>
  <si>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</si>
  <si>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</si>
  <si>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</si>
  <si>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</si>
  <si>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</si>
  <si>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</si>
  <si>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</si>
  <si>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</si>
  <si>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</si>
  <si>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</si>
  <si>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</si>
  <si>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</si>
  <si>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</si>
  <si>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</si>
  <si>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</si>
  <si>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</si>
  <si>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</si>
  <si>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</si>
  <si>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</si>
  <si>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</si>
  <si>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</si>
  <si>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</si>
  <si>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</si>
  <si>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</si>
  <si>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</si>
  <si>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</si>
  <si>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</si>
  <si>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</si>
  <si>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</si>
  <si>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</si>
  <si>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</si>
  <si>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</si>
  <si>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</si>
  <si>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</si>
  <si>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</si>
  <si>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</si>
  <si>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</si>
  <si>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</si>
  <si>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</si>
  <si>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</si>
  <si>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</si>
  <si>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</si>
  <si>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</si>
  <si>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</si>
  <si>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</si>
  <si>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</si>
  <si>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</si>
  <si>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</si>
  <si>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</si>
  <si>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</si>
  <si>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</si>
  <si>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</si>
  <si>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</si>
  <si>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</si>
  <si>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</si>
  <si>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</si>
  <si>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</si>
  <si>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</si>
  <si>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</si>
  <si>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</si>
  <si>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</si>
  <si>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</si>
  <si>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</si>
  <si>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</si>
  <si>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</si>
  <si>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</si>
  <si>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</si>
  <si>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</si>
  <si>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</si>
  <si>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</si>
  <si>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</si>
  <si>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</si>
  <si>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</si>
  <si>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</si>
  <si>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</si>
  <si>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</si>
  <si>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</si>
  <si>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</si>
  <si>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</si>
  <si>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</si>
  <si>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</si>
  <si>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</si>
  <si>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</si>
  <si>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</si>
  <si>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</si>
  <si>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</si>
  <si>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</si>
  <si>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</si>
  <si>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</si>
  <si>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</si>
  <si>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</si>
  <si>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</si>
  <si>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</si>
  <si>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</si>
  <si>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</si>
  <si>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</si>
  <si>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</si>
  <si>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</si>
  <si>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</si>
  <si>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</si>
  <si>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</si>
  <si>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</si>
  <si>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</si>
  <si>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</si>
  <si>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</si>
  <si>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</si>
  <si>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</si>
  <si>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</si>
  <si>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</si>
  <si>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</si>
  <si>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</si>
  <si>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</si>
  <si>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</si>
  <si>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</si>
  <si>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</si>
  <si>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</si>
  <si>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</si>
  <si>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</si>
  <si>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</si>
  <si>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</si>
  <si>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</si>
  <si>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</si>
  <si>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</si>
  <si>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</si>
  <si>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</si>
  <si>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</si>
  <si>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</si>
  <si>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</si>
  <si>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</si>
  <si>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</si>
  <si>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</si>
  <si>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</si>
  <si>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</si>
  <si>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</si>
  <si>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</si>
  <si>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</si>
  <si>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</si>
  <si>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</si>
  <si>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</si>
  <si>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</si>
  <si>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</si>
  <si>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</si>
  <si>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</si>
  <si>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</si>
  <si>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</si>
  <si>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</si>
  <si>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</si>
  <si>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</si>
  <si>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</si>
  <si>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</si>
  <si>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</si>
  <si>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</si>
  <si>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</si>
  <si>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</si>
  <si>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</si>
  <si>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</si>
  <si>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</si>
  <si>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</si>
  <si>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</si>
  <si>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</si>
  <si>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</si>
  <si>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</si>
  <si>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</si>
  <si>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</si>
  <si>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</si>
  <si>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</si>
  <si>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</si>
  <si>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</si>
  <si>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</si>
  <si>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</si>
  <si>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</si>
  <si>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</si>
  <si>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</si>
  <si>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</si>
  <si>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</si>
  <si>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</si>
  <si>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</si>
  <si>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</si>
  <si>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</si>
  <si>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</si>
  <si>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</si>
  <si>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</si>
  <si>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</si>
  <si>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</si>
  <si>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</si>
  <si>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</si>
  <si>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</si>
  <si>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</si>
  <si>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</si>
  <si>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</si>
  <si>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</si>
  <si>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</si>
  <si>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</si>
  <si>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</si>
  <si>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</si>
  <si>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</si>
  <si>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</si>
  <si>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</si>
  <si>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</si>
  <si>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</si>
  <si>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</si>
  <si>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</si>
  <si>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</si>
  <si>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</si>
  <si>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</si>
  <si>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</si>
  <si>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</si>
  <si>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</si>
  <si>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</si>
  <si>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</si>
  <si>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</si>
  <si>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</si>
  <si>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</si>
  <si>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</si>
  <si>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</si>
  <si>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</si>
  <si>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</si>
  <si>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</si>
  <si>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</si>
  <si>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</si>
  <si>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</si>
  <si>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</si>
  <si>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</si>
  <si>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</si>
  <si>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</si>
  <si>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</si>
  <si>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</si>
  <si>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</si>
  <si>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</si>
  <si>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</si>
  <si>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</si>
  <si>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</si>
  <si>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</si>
  <si>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</si>
  <si>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</si>
  <si>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</si>
  <si>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</si>
  <si>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</si>
  <si>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</si>
  <si>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</si>
  <si>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</si>
  <si>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</si>
  <si>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</si>
  <si>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</si>
  <si>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</si>
  <si>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</si>
  <si>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</si>
  <si>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</si>
  <si>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</si>
  <si>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</si>
  <si>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</si>
  <si>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</si>
  <si>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</si>
  <si>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</si>
  <si>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</si>
  <si>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</si>
  <si>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</si>
  <si>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</si>
  <si>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</si>
  <si>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</si>
  <si>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</si>
  <si>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</si>
  <si>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</si>
  <si>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</si>
  <si>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</si>
  <si>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</si>
  <si>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</si>
  <si>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</si>
  <si>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</si>
  <si>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</si>
  <si>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</si>
  <si>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</si>
  <si>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</si>
  <si>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</si>
  <si>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</si>
  <si>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</si>
  <si>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</si>
  <si>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</si>
  <si>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</si>
  <si>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</si>
  <si>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</si>
  <si>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</si>
  <si>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</si>
  <si>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</si>
  <si>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</si>
  <si>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</si>
  <si>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</si>
  <si>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</si>
  <si>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</si>
  <si>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</si>
  <si>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</si>
  <si>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</si>
  <si>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</si>
  <si>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</si>
  <si>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</si>
  <si>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</si>
  <si>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</si>
  <si>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</si>
  <si>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</si>
  <si>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</si>
  <si>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</si>
  <si>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</si>
  <si>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</si>
  <si>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</si>
  <si>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</si>
  <si>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</si>
  <si>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</si>
  <si>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</si>
  <si>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</si>
  <si>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</si>
  <si>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</si>
  <si>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</si>
  <si>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</si>
  <si>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</si>
  <si>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</si>
  <si>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</si>
  <si>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</si>
  <si>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</si>
  <si>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</si>
  <si>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</si>
  <si>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</si>
  <si>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</si>
  <si>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</si>
  <si>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</si>
  <si>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</si>
  <si>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</si>
  <si>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</si>
  <si>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</si>
  <si>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</si>
  <si>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</si>
  <si>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</si>
  <si>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</si>
  <si>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</si>
  <si>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</si>
  <si>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</si>
  <si>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</si>
  <si>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</si>
  <si>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</si>
  <si>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</si>
  <si>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</si>
  <si>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</si>
  <si>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</si>
  <si>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</si>
  <si>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</si>
  <si>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</si>
  <si>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</si>
  <si>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</si>
  <si>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</si>
  <si>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</si>
  <si>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</si>
  <si>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</si>
  <si>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</si>
  <si>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</si>
  <si>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</si>
  <si>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</si>
  <si>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</si>
  <si>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</si>
  <si>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</si>
  <si>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</si>
  <si>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</si>
  <si>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</si>
  <si>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</si>
  <si>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</si>
  <si>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</si>
  <si>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</si>
  <si>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</si>
  <si>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</si>
  <si>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</si>
  <si>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</si>
  <si>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</si>
  <si>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</si>
  <si>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</si>
  <si>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</si>
  <si>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</si>
  <si>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</si>
  <si>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</si>
  <si>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</si>
  <si>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</si>
  <si>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</si>
  <si>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</si>
  <si>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</si>
  <si>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</si>
  <si>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</si>
  <si>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</si>
  <si>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</si>
  <si>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</si>
  <si>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</si>
  <si>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</si>
  <si>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</si>
  <si>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</si>
  <si>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</si>
  <si>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</si>
  <si>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</si>
  <si>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</si>
  <si>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</si>
  <si>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</si>
  <si>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</si>
  <si>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</si>
  <si>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</si>
  <si>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</si>
  <si>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</si>
  <si>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</si>
  <si>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</si>
  <si>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</si>
  <si>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</si>
  <si>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</si>
  <si>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</si>
  <si>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</si>
  <si>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</si>
  <si>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</si>
  <si>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</si>
  <si>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</si>
  <si>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</si>
  <si>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</si>
  <si>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</si>
  <si>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</si>
  <si>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</si>
  <si>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</si>
  <si>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</si>
  <si>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</si>
  <si>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</si>
  <si>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</si>
  <si>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</si>
  <si>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</si>
  <si>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</si>
  <si>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</si>
  <si>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</si>
  <si>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</si>
  <si>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</si>
  <si>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</si>
  <si>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</si>
  <si>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</si>
  <si>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</si>
  <si>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</si>
  <si>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</si>
  <si>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</si>
  <si>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</si>
  <si>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</si>
  <si>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</si>
  <si>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</si>
  <si>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</si>
  <si>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</si>
  <si>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</si>
  <si>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</si>
  <si>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</si>
  <si>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</si>
  <si>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</si>
  <si>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</si>
  <si>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</si>
  <si>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</si>
  <si>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</si>
  <si>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</si>
  <si>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</si>
  <si>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</si>
  <si>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</si>
  <si>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</si>
  <si>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</si>
  <si>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</si>
  <si>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</si>
  <si>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</si>
  <si>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</si>
  <si>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</si>
  <si>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</si>
  <si>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</si>
  <si>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</si>
  <si>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</si>
  <si>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</si>
  <si>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</si>
  <si>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</si>
  <si>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</si>
  <si>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</si>
  <si>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</si>
  <si>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</si>
  <si>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</si>
  <si>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</si>
  <si>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</si>
  <si>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</si>
  <si>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</si>
  <si>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</si>
  <si>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</si>
  <si>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</si>
  <si>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</si>
  <si>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</si>
  <si>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</si>
  <si>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</si>
  <si>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</si>
  <si>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</si>
  <si>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</si>
  <si>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</si>
  <si>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</si>
  <si>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</si>
  <si>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</si>
  <si>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</si>
  <si>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</si>
  <si>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</si>
  <si>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</si>
  <si>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</si>
  <si>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</si>
  <si>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</si>
  <si>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</si>
  <si>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</si>
  <si>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</si>
  <si>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</si>
  <si>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</si>
  <si>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</si>
  <si>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</si>
  <si>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</si>
  <si>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</si>
  <si>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</si>
  <si>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</si>
  <si>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</si>
  <si>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</si>
  <si>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</si>
  <si>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</si>
  <si>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</si>
  <si>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</si>
  <si>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</si>
  <si>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</si>
  <si>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</si>
  <si>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</si>
  <si>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</si>
  <si>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</si>
  <si>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</si>
  <si>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</si>
  <si>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</si>
  <si>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</si>
  <si>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</si>
  <si>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</si>
  <si>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</si>
  <si>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</si>
  <si>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</si>
  <si>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</si>
  <si>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</si>
  <si>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</si>
  <si>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</si>
  <si>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</si>
  <si>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</si>
  <si>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</si>
  <si>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</si>
  <si>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</si>
  <si>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</si>
  <si>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</si>
  <si>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</si>
  <si>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</si>
  <si>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</si>
  <si>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</si>
  <si>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</si>
  <si>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</si>
  <si>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</si>
  <si>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</si>
  <si>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</si>
  <si>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</si>
  <si>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</si>
  <si>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</si>
  <si>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</si>
  <si>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</si>
  <si>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</si>
  <si>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</si>
  <si>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</si>
  <si>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</si>
  <si>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</si>
  <si>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</si>
  <si>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</si>
  <si>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</si>
  <si>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</si>
  <si>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</si>
  <si>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</si>
  <si>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</si>
  <si>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</si>
  <si>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</si>
  <si>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</si>
  <si>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</si>
  <si>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</si>
  <si>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</si>
  <si>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</si>
  <si>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</si>
  <si>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</si>
  <si>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</si>
  <si>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</si>
  <si>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</si>
  <si>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</si>
  <si>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</si>
  <si>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</si>
  <si>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</si>
  <si>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</si>
  <si>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</si>
  <si>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</si>
  <si>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</si>
  <si>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</si>
  <si>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</si>
  <si>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</si>
  <si>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</si>
  <si>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</si>
  <si>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</si>
  <si>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</si>
  <si>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</si>
  <si>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</si>
  <si>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</si>
  <si>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</si>
  <si>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</si>
  <si>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</si>
  <si>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</si>
  <si>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</si>
  <si>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</si>
  <si>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</si>
  <si>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</si>
  <si>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</si>
  <si>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</si>
  <si>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</si>
  <si>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</si>
  <si>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</si>
  <si>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</si>
  <si>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</si>
  <si>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</si>
  <si>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</si>
  <si>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</si>
  <si>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</si>
  <si>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</si>
  <si>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</si>
  <si>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</si>
  <si>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</si>
  <si>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</si>
  <si>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</si>
  <si>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</si>
  <si>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</si>
  <si>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</si>
  <si>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</si>
  <si>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</si>
  <si>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</si>
  <si>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</si>
  <si>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</si>
  <si>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</si>
  <si>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</si>
  <si>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</si>
  <si>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</si>
  <si>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</si>
  <si>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</si>
  <si>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</si>
  <si>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</si>
  <si>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</si>
  <si>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</si>
  <si>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</si>
  <si>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</si>
  <si>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</si>
  <si>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</si>
  <si>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</si>
  <si>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</si>
  <si>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</si>
  <si>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</si>
  <si>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</si>
  <si>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</si>
  <si>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</si>
  <si>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</si>
  <si>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</si>
  <si>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</si>
  <si>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</si>
  <si>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</si>
  <si>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</si>
  <si>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</si>
  <si>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</si>
  <si>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</si>
  <si>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</si>
  <si>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</si>
  <si>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</si>
  <si>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</si>
  <si>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</si>
  <si>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</si>
  <si>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</si>
  <si>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</si>
  <si>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</si>
  <si>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</si>
  <si>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</si>
  <si>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</si>
  <si>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</si>
  <si>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</si>
  <si>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</si>
  <si>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</si>
  <si>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</si>
  <si>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</si>
  <si>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</si>
  <si>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</si>
  <si>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</si>
  <si>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</si>
  <si>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</si>
  <si>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</si>
  <si>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</si>
  <si>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</si>
  <si>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</si>
  <si>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</si>
  <si>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</si>
  <si>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</si>
  <si>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</si>
  <si>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</si>
  <si>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</si>
  <si>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</si>
  <si>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</si>
  <si>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</si>
  <si>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</si>
  <si>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</si>
  <si>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</si>
  <si>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</si>
  <si>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</si>
  <si>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</si>
  <si>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</si>
  <si>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</si>
  <si>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</si>
  <si>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</si>
  <si>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</si>
  <si>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</si>
  <si>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</si>
  <si>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</si>
  <si>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</si>
  <si>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</si>
  <si>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</si>
  <si>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</si>
  <si>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</si>
  <si>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</si>
  <si>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</si>
  <si>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</si>
  <si>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</si>
  <si>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</si>
  <si>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</si>
  <si>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</si>
  <si>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</si>
  <si>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</si>
  <si>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</si>
  <si>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</si>
  <si>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</si>
  <si>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</si>
  <si>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</si>
  <si>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</si>
  <si>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</si>
  <si>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</si>
  <si>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</si>
  <si>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</si>
  <si>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</si>
  <si>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</si>
  <si>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</si>
  <si>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</si>
  <si>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</si>
  <si>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</si>
  <si>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</si>
  <si>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</si>
  <si>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</si>
  <si>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</si>
  <si>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</si>
  <si>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</si>
  <si>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</si>
  <si>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</si>
  <si>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</si>
  <si>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</si>
  <si>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</si>
  <si>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</si>
  <si>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</si>
  <si>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</si>
  <si>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</si>
  <si>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</si>
  <si>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</si>
  <si>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</si>
  <si>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</si>
  <si>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</si>
  <si>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72004</t>
  </si>
  <si>
    <t>BREE</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</si>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</sst>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72004</v>
      </c>
      <c r="B6" s="397"/>
      <c r="C6" s="398"/>
    </row>
    <row r="7" spans="1:7" s="395" customFormat="1" ht="15.75" customHeight="1">
      <c r="A7" s="399" t="str">
        <f>txtMunicipality</f>
        <v>BREE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72004</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6252</v>
      </c>
      <c r="C9" s="338">
        <v>6685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4091</v>
      </c>
    </row>
    <row r="15" spans="1:6">
      <c r="A15" s="1260" t="s">
        <v>184</v>
      </c>
      <c r="B15" s="335">
        <v>1094</v>
      </c>
    </row>
    <row r="16" spans="1:6">
      <c r="A16" s="1260" t="s">
        <v>6</v>
      </c>
      <c r="B16" s="335">
        <v>3777</v>
      </c>
    </row>
    <row r="17" spans="1:6">
      <c r="A17" s="1260" t="s">
        <v>7</v>
      </c>
      <c r="B17" s="335">
        <v>307</v>
      </c>
    </row>
    <row r="18" spans="1:6">
      <c r="A18" s="1260" t="s">
        <v>8</v>
      </c>
      <c r="B18" s="335">
        <v>2088</v>
      </c>
    </row>
    <row r="19" spans="1:6">
      <c r="A19" s="1260" t="s">
        <v>9</v>
      </c>
      <c r="B19" s="335">
        <v>2045</v>
      </c>
    </row>
    <row r="20" spans="1:6">
      <c r="A20" s="1260" t="s">
        <v>10</v>
      </c>
      <c r="B20" s="335">
        <v>1324</v>
      </c>
    </row>
    <row r="21" spans="1:6">
      <c r="A21" s="1260" t="s">
        <v>11</v>
      </c>
      <c r="B21" s="335">
        <v>11586</v>
      </c>
    </row>
    <row r="22" spans="1:6">
      <c r="A22" s="1260" t="s">
        <v>12</v>
      </c>
      <c r="B22" s="335">
        <v>25070</v>
      </c>
    </row>
    <row r="23" spans="1:6">
      <c r="A23" s="1260" t="s">
        <v>13</v>
      </c>
      <c r="B23" s="335">
        <v>390</v>
      </c>
    </row>
    <row r="24" spans="1:6">
      <c r="A24" s="1260" t="s">
        <v>14</v>
      </c>
      <c r="B24" s="335">
        <v>35</v>
      </c>
    </row>
    <row r="25" spans="1:6">
      <c r="A25" s="1260" t="s">
        <v>15</v>
      </c>
      <c r="B25" s="335">
        <v>3642</v>
      </c>
    </row>
    <row r="26" spans="1:6">
      <c r="A26" s="1260" t="s">
        <v>16</v>
      </c>
      <c r="B26" s="335">
        <v>272</v>
      </c>
    </row>
    <row r="27" spans="1:6">
      <c r="A27" s="1260" t="s">
        <v>17</v>
      </c>
      <c r="B27" s="335">
        <v>0</v>
      </c>
    </row>
    <row r="28" spans="1:6" s="341" customFormat="1">
      <c r="A28" s="1261" t="s">
        <v>18</v>
      </c>
      <c r="B28" s="1261">
        <v>189378</v>
      </c>
    </row>
    <row r="29" spans="1:6">
      <c r="A29" s="1261" t="s">
        <v>910</v>
      </c>
      <c r="B29" s="1261">
        <v>369</v>
      </c>
      <c r="C29" s="341"/>
      <c r="D29" s="341"/>
      <c r="E29" s="341"/>
      <c r="F29" s="341"/>
    </row>
    <row r="30" spans="1:6">
      <c r="A30" s="1256" t="s">
        <v>911</v>
      </c>
      <c r="B30" s="1256">
        <v>92</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38</v>
      </c>
      <c r="F36" s="335">
        <v>46600</v>
      </c>
    </row>
    <row r="37" spans="1:6">
      <c r="A37" s="1260" t="s">
        <v>25</v>
      </c>
      <c r="B37" s="1260" t="s">
        <v>28</v>
      </c>
      <c r="C37" s="335">
        <v>0</v>
      </c>
      <c r="D37" s="335">
        <v>0</v>
      </c>
      <c r="E37" s="335">
        <v>0</v>
      </c>
      <c r="F37" s="335">
        <v>0</v>
      </c>
    </row>
    <row r="38" spans="1:6">
      <c r="A38" s="1260" t="s">
        <v>25</v>
      </c>
      <c r="B38" s="1260" t="s">
        <v>29</v>
      </c>
      <c r="C38" s="335">
        <v>0</v>
      </c>
      <c r="D38" s="335">
        <v>0</v>
      </c>
      <c r="E38" s="335">
        <v>1</v>
      </c>
      <c r="F38" s="335">
        <v>28588</v>
      </c>
    </row>
    <row r="39" spans="1:6">
      <c r="A39" s="1260" t="s">
        <v>30</v>
      </c>
      <c r="B39" s="1260" t="s">
        <v>31</v>
      </c>
      <c r="C39" s="335">
        <v>2839</v>
      </c>
      <c r="D39" s="335">
        <v>45303939</v>
      </c>
      <c r="E39" s="335">
        <v>6390</v>
      </c>
      <c r="F39" s="335">
        <v>24790968</v>
      </c>
    </row>
    <row r="40" spans="1:6">
      <c r="A40" s="1260" t="s">
        <v>30</v>
      </c>
      <c r="B40" s="1260" t="s">
        <v>29</v>
      </c>
      <c r="C40" s="335">
        <v>0</v>
      </c>
      <c r="D40" s="335">
        <v>0</v>
      </c>
      <c r="E40" s="335">
        <v>0</v>
      </c>
      <c r="F40" s="335">
        <v>0</v>
      </c>
    </row>
    <row r="41" spans="1:6">
      <c r="A41" s="1260" t="s">
        <v>32</v>
      </c>
      <c r="B41" s="1260" t="s">
        <v>33</v>
      </c>
      <c r="C41" s="335">
        <v>37</v>
      </c>
      <c r="D41" s="335">
        <v>1388869</v>
      </c>
      <c r="E41" s="335">
        <v>125</v>
      </c>
      <c r="F41" s="335">
        <v>1849523</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12</v>
      </c>
      <c r="D44" s="335">
        <v>3063533</v>
      </c>
      <c r="E44" s="335">
        <v>27</v>
      </c>
      <c r="F44" s="335">
        <v>9670462</v>
      </c>
    </row>
    <row r="45" spans="1:6">
      <c r="A45" s="1260" t="s">
        <v>32</v>
      </c>
      <c r="B45" s="1260" t="s">
        <v>37</v>
      </c>
      <c r="C45" s="335">
        <v>4</v>
      </c>
      <c r="D45" s="335">
        <v>104293</v>
      </c>
      <c r="E45" s="335">
        <v>11</v>
      </c>
      <c r="F45" s="335">
        <v>365615</v>
      </c>
    </row>
    <row r="46" spans="1:6">
      <c r="A46" s="1260" t="s">
        <v>32</v>
      </c>
      <c r="B46" s="1260" t="s">
        <v>38</v>
      </c>
      <c r="C46" s="335">
        <v>0</v>
      </c>
      <c r="D46" s="335">
        <v>0</v>
      </c>
      <c r="E46" s="335">
        <v>0</v>
      </c>
      <c r="F46" s="335">
        <v>0</v>
      </c>
    </row>
    <row r="47" spans="1:6">
      <c r="A47" s="1260" t="s">
        <v>32</v>
      </c>
      <c r="B47" s="1260" t="s">
        <v>39</v>
      </c>
      <c r="C47" s="335">
        <v>7</v>
      </c>
      <c r="D47" s="335">
        <v>166317</v>
      </c>
      <c r="E47" s="335">
        <v>8</v>
      </c>
      <c r="F47" s="335">
        <v>115201</v>
      </c>
    </row>
    <row r="48" spans="1:6">
      <c r="A48" s="1260" t="s">
        <v>32</v>
      </c>
      <c r="B48" s="1260" t="s">
        <v>29</v>
      </c>
      <c r="C48" s="335">
        <v>1</v>
      </c>
      <c r="D48" s="335">
        <v>1496588</v>
      </c>
      <c r="E48" s="335">
        <v>3</v>
      </c>
      <c r="F48" s="335">
        <v>475950</v>
      </c>
    </row>
    <row r="49" spans="1:6">
      <c r="A49" s="1260" t="s">
        <v>32</v>
      </c>
      <c r="B49" s="1260" t="s">
        <v>40</v>
      </c>
      <c r="C49" s="335">
        <v>0</v>
      </c>
      <c r="D49" s="335">
        <v>0</v>
      </c>
      <c r="E49" s="335">
        <v>0</v>
      </c>
      <c r="F49" s="335">
        <v>0</v>
      </c>
    </row>
    <row r="50" spans="1:6">
      <c r="A50" s="1260" t="s">
        <v>32</v>
      </c>
      <c r="B50" s="1260" t="s">
        <v>41</v>
      </c>
      <c r="C50" s="335">
        <v>8</v>
      </c>
      <c r="D50" s="335">
        <v>125922518</v>
      </c>
      <c r="E50" s="335">
        <v>30</v>
      </c>
      <c r="F50" s="335">
        <v>24520869</v>
      </c>
    </row>
    <row r="51" spans="1:6">
      <c r="A51" s="1260" t="s">
        <v>42</v>
      </c>
      <c r="B51" s="1260" t="s">
        <v>43</v>
      </c>
      <c r="C51" s="335">
        <v>6</v>
      </c>
      <c r="D51" s="335">
        <v>5558894</v>
      </c>
      <c r="E51" s="335">
        <v>138</v>
      </c>
      <c r="F51" s="335">
        <v>5736497</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96</v>
      </c>
      <c r="F54" s="335">
        <v>1130845</v>
      </c>
    </row>
    <row r="55" spans="1:6">
      <c r="A55" s="1260" t="s">
        <v>46</v>
      </c>
      <c r="B55" s="1260" t="s">
        <v>29</v>
      </c>
      <c r="C55" s="335">
        <v>0</v>
      </c>
      <c r="D55" s="335">
        <v>0</v>
      </c>
      <c r="E55" s="335">
        <v>0</v>
      </c>
      <c r="F55" s="335">
        <v>0</v>
      </c>
    </row>
    <row r="56" spans="1:6">
      <c r="A56" s="1260" t="s">
        <v>48</v>
      </c>
      <c r="B56" s="1260" t="s">
        <v>29</v>
      </c>
      <c r="C56" s="335">
        <v>38</v>
      </c>
      <c r="D56" s="335">
        <v>1695526</v>
      </c>
      <c r="E56" s="335">
        <v>98</v>
      </c>
      <c r="F56" s="335">
        <v>741546</v>
      </c>
    </row>
    <row r="57" spans="1:6">
      <c r="A57" s="1260" t="s">
        <v>49</v>
      </c>
      <c r="B57" s="1260" t="s">
        <v>50</v>
      </c>
      <c r="C57" s="335">
        <v>20</v>
      </c>
      <c r="D57" s="335">
        <v>1465273</v>
      </c>
      <c r="E57" s="335">
        <v>75</v>
      </c>
      <c r="F57" s="335">
        <v>4514665</v>
      </c>
    </row>
    <row r="58" spans="1:6">
      <c r="A58" s="1260" t="s">
        <v>49</v>
      </c>
      <c r="B58" s="1260" t="s">
        <v>51</v>
      </c>
      <c r="C58" s="335">
        <v>24</v>
      </c>
      <c r="D58" s="335">
        <v>4247835</v>
      </c>
      <c r="E58" s="335">
        <v>51</v>
      </c>
      <c r="F58" s="335">
        <v>1915472</v>
      </c>
    </row>
    <row r="59" spans="1:6">
      <c r="A59" s="1260" t="s">
        <v>49</v>
      </c>
      <c r="B59" s="1260" t="s">
        <v>52</v>
      </c>
      <c r="C59" s="335">
        <v>86</v>
      </c>
      <c r="D59" s="335">
        <v>4753714</v>
      </c>
      <c r="E59" s="335">
        <v>234</v>
      </c>
      <c r="F59" s="335">
        <v>13745915</v>
      </c>
    </row>
    <row r="60" spans="1:6">
      <c r="A60" s="1260" t="s">
        <v>49</v>
      </c>
      <c r="B60" s="1260" t="s">
        <v>53</v>
      </c>
      <c r="C60" s="335">
        <v>48</v>
      </c>
      <c r="D60" s="335">
        <v>2383413</v>
      </c>
      <c r="E60" s="335">
        <v>81</v>
      </c>
      <c r="F60" s="335">
        <v>2229782</v>
      </c>
    </row>
    <row r="61" spans="1:6">
      <c r="A61" s="1260" t="s">
        <v>49</v>
      </c>
      <c r="B61" s="1260" t="s">
        <v>54</v>
      </c>
      <c r="C61" s="335">
        <v>117</v>
      </c>
      <c r="D61" s="335">
        <v>7358908</v>
      </c>
      <c r="E61" s="335">
        <v>347</v>
      </c>
      <c r="F61" s="335">
        <v>7701646</v>
      </c>
    </row>
    <row r="62" spans="1:6">
      <c r="A62" s="1260" t="s">
        <v>49</v>
      </c>
      <c r="B62" s="1260" t="s">
        <v>55</v>
      </c>
      <c r="C62" s="335">
        <v>9</v>
      </c>
      <c r="D62" s="335">
        <v>1638327</v>
      </c>
      <c r="E62" s="335">
        <v>20</v>
      </c>
      <c r="F62" s="335">
        <v>728301</v>
      </c>
    </row>
    <row r="63" spans="1:6">
      <c r="A63" s="1260" t="s">
        <v>49</v>
      </c>
      <c r="B63" s="1260" t="s">
        <v>29</v>
      </c>
      <c r="C63" s="335">
        <v>0</v>
      </c>
      <c r="D63" s="335">
        <v>0</v>
      </c>
      <c r="E63" s="335">
        <v>0</v>
      </c>
      <c r="F63" s="335">
        <v>0</v>
      </c>
    </row>
    <row r="64" spans="1:6">
      <c r="A64" s="1260" t="s">
        <v>56</v>
      </c>
      <c r="B64" s="1260" t="s">
        <v>57</v>
      </c>
      <c r="C64" s="335">
        <v>0</v>
      </c>
      <c r="D64" s="335">
        <v>0</v>
      </c>
      <c r="E64" s="335">
        <v>0</v>
      </c>
      <c r="F64" s="335">
        <v>0</v>
      </c>
    </row>
    <row r="65" spans="1:6">
      <c r="A65" s="1260" t="s">
        <v>56</v>
      </c>
      <c r="B65" s="1260" t="s">
        <v>29</v>
      </c>
      <c r="C65" s="335">
        <v>0</v>
      </c>
      <c r="D65" s="335">
        <v>0</v>
      </c>
      <c r="E65" s="335">
        <v>1</v>
      </c>
      <c r="F65" s="335">
        <v>245124</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4</v>
      </c>
      <c r="D68" s="335">
        <v>168524</v>
      </c>
      <c r="E68" s="335">
        <v>8</v>
      </c>
      <c r="F68" s="335">
        <v>156100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93853385</v>
      </c>
      <c r="E73" s="335">
        <v>96599660.373132348</v>
      </c>
    </row>
    <row r="74" spans="1:6">
      <c r="A74" s="1260" t="s">
        <v>64</v>
      </c>
      <c r="B74" s="1260" t="s">
        <v>772</v>
      </c>
      <c r="C74" s="1271" t="s">
        <v>766</v>
      </c>
      <c r="D74" s="335">
        <v>8330830.2272631386</v>
      </c>
      <c r="E74" s="335">
        <v>8769999.2685773913</v>
      </c>
    </row>
    <row r="75" spans="1:6">
      <c r="A75" s="1260" t="s">
        <v>65</v>
      </c>
      <c r="B75" s="1260" t="s">
        <v>771</v>
      </c>
      <c r="C75" s="1271" t="s">
        <v>767</v>
      </c>
      <c r="D75" s="335">
        <v>18258193</v>
      </c>
      <c r="E75" s="335">
        <v>18964430.4909181</v>
      </c>
    </row>
    <row r="76" spans="1:6">
      <c r="A76" s="1260" t="s">
        <v>65</v>
      </c>
      <c r="B76" s="1260" t="s">
        <v>772</v>
      </c>
      <c r="C76" s="1271" t="s">
        <v>768</v>
      </c>
      <c r="D76" s="335">
        <v>300370.22726313898</v>
      </c>
      <c r="E76" s="335">
        <v>359769.22435229248</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625601.54547372204</v>
      </c>
      <c r="C83" s="335">
        <v>591609.07988418802</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4324.5000416636076</v>
      </c>
    </row>
    <row r="92" spans="1:6">
      <c r="A92" s="1256" t="s">
        <v>69</v>
      </c>
      <c r="B92" s="338">
        <v>3907.032963504666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913</v>
      </c>
    </row>
    <row r="98" spans="1:6">
      <c r="A98" s="1260" t="s">
        <v>72</v>
      </c>
      <c r="B98" s="335">
        <v>1</v>
      </c>
    </row>
    <row r="99" spans="1:6">
      <c r="A99" s="1260" t="s">
        <v>73</v>
      </c>
      <c r="B99" s="335">
        <v>40</v>
      </c>
    </row>
    <row r="100" spans="1:6">
      <c r="A100" s="1260" t="s">
        <v>74</v>
      </c>
      <c r="B100" s="335">
        <v>210</v>
      </c>
    </row>
    <row r="101" spans="1:6">
      <c r="A101" s="1260" t="s">
        <v>75</v>
      </c>
      <c r="B101" s="335">
        <v>42</v>
      </c>
    </row>
    <row r="102" spans="1:6">
      <c r="A102" s="1260" t="s">
        <v>76</v>
      </c>
      <c r="B102" s="335">
        <v>57</v>
      </c>
    </row>
    <row r="103" spans="1:6">
      <c r="A103" s="1260" t="s">
        <v>77</v>
      </c>
      <c r="B103" s="335">
        <v>93</v>
      </c>
    </row>
    <row r="104" spans="1:6">
      <c r="A104" s="1260" t="s">
        <v>78</v>
      </c>
      <c r="B104" s="335">
        <v>3845</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5</v>
      </c>
      <c r="C123" s="335">
        <v>18</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48</v>
      </c>
    </row>
    <row r="130" spans="1:6">
      <c r="A130" s="1260" t="s">
        <v>295</v>
      </c>
      <c r="B130" s="335">
        <v>0</v>
      </c>
    </row>
    <row r="131" spans="1:6">
      <c r="A131" s="1260" t="s">
        <v>296</v>
      </c>
      <c r="B131" s="335">
        <v>0</v>
      </c>
    </row>
    <row r="132" spans="1:6">
      <c r="A132" s="1256" t="s">
        <v>297</v>
      </c>
      <c r="B132" s="338">
        <v>11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103818.56987247877</v>
      </c>
      <c r="C3" s="44" t="s">
        <v>170</v>
      </c>
      <c r="D3" s="44"/>
      <c r="E3" s="157"/>
      <c r="F3" s="44"/>
      <c r="G3" s="44"/>
      <c r="H3" s="44"/>
      <c r="I3" s="44"/>
      <c r="J3" s="44"/>
      <c r="K3" s="97"/>
    </row>
    <row r="4" spans="1:11">
      <c r="A4" s="365" t="s">
        <v>171</v>
      </c>
      <c r="B4" s="50">
        <f>IF(ISERROR('SEAP template'!B69),0,'SEAP template'!B69)</f>
        <v>8362.4830051682748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0.20319866882762652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187.07142857142856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1130.845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1130.845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0.20319866882762652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229.78619865037732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24790.968000000001</v>
      </c>
      <c r="C5" s="18">
        <f>IF(ISERROR('Eigen informatie GS &amp; warmtenet'!B57),0,'Eigen informatie GS &amp; warmtenet'!B57)</f>
        <v>0</v>
      </c>
      <c r="D5" s="31">
        <f>(SUM(HH_hh_gas_kWh,HH_rest_gas_kWh)/1000)*0.902</f>
        <v>40864.152977999998</v>
      </c>
      <c r="E5" s="18">
        <f>B46*B57</f>
        <v>3880.22289449139</v>
      </c>
      <c r="F5" s="18">
        <f>B51*B62</f>
        <v>41682.739665997658</v>
      </c>
      <c r="G5" s="19"/>
      <c r="H5" s="18"/>
      <c r="I5" s="18"/>
      <c r="J5" s="18">
        <f>B50*B61+C50*C61</f>
        <v>0</v>
      </c>
      <c r="K5" s="18"/>
      <c r="L5" s="18"/>
      <c r="M5" s="18"/>
      <c r="N5" s="18">
        <f>B48*B59+C48*C59</f>
        <v>13231.247928819626</v>
      </c>
      <c r="O5" s="18">
        <f>B69*B70*B71</f>
        <v>103.17999999999999</v>
      </c>
      <c r="P5" s="18">
        <f>B77*B78*B79/1000-B77*B78*B79/1000/B80</f>
        <v>305.06666666666666</v>
      </c>
    </row>
    <row r="6" spans="1:16">
      <c r="A6" s="17" t="s">
        <v>639</v>
      </c>
      <c r="B6" s="831">
        <f>kWh_PV_kleiner_dan_10kW</f>
        <v>4324.5000416636076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29115.468041663607</v>
      </c>
      <c r="C8" s="22">
        <f>C5</f>
        <v>0</v>
      </c>
      <c r="D8" s="22">
        <f>D5</f>
        <v>40864.152977999998</v>
      </c>
      <c r="E8" s="22">
        <f>E5</f>
        <v>3880.22289449139</v>
      </c>
      <c r="F8" s="22">
        <f>F5</f>
        <v>41682.739665997658</v>
      </c>
      <c r="G8" s="22"/>
      <c r="H8" s="22"/>
      <c r="I8" s="22"/>
      <c r="J8" s="22">
        <f>J5</f>
        <v>0</v>
      </c>
      <c r="K8" s="22"/>
      <c r="L8" s="22">
        <f>L5</f>
        <v>0</v>
      </c>
      <c r="M8" s="22">
        <f>M5</f>
        <v>0</v>
      </c>
      <c r="N8" s="22">
        <f>N5</f>
        <v>13231.247928819626</v>
      </c>
      <c r="O8" s="22">
        <f>O5</f>
        <v>103.17999999999999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0.20319866882762652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5916.2243483593475</v>
      </c>
      <c r="C12" s="24">
        <f ca="1">C10*C8</f>
        <v>0</v>
      </c>
      <c r="D12" s="24">
        <f>D8*D10</f>
        <v>8254.5589015559999</v>
      </c>
      <c r="E12" s="24">
        <f>E10*E8</f>
        <v>880.81059704954555</v>
      </c>
      <c r="F12" s="24">
        <f>F10*F8</f>
        <v>11129.291490821375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913</v>
      </c>
      <c r="C18" s="169" t="s">
        <v>111</v>
      </c>
      <c r="D18" s="231"/>
      <c r="E18" s="16"/>
    </row>
    <row r="19" spans="1:7">
      <c r="A19" s="174" t="s">
        <v>72</v>
      </c>
      <c r="B19" s="38">
        <f>aantalw2001_ander</f>
        <v>1</v>
      </c>
      <c r="C19" s="169" t="s">
        <v>111</v>
      </c>
      <c r="D19" s="232"/>
      <c r="E19" s="16"/>
    </row>
    <row r="20" spans="1:7">
      <c r="A20" s="174" t="s">
        <v>73</v>
      </c>
      <c r="B20" s="38">
        <f>aantalw2001_propaan</f>
        <v>40</v>
      </c>
      <c r="C20" s="170">
        <f>IF(ISERROR(B20/SUM($B$20,$B$21,$B$22)*100),0,B20/SUM($B$20,$B$21,$B$22)*100)</f>
        <v>13.698630136986301</v>
      </c>
      <c r="D20" s="232"/>
      <c r="E20" s="16"/>
    </row>
    <row r="21" spans="1:7">
      <c r="A21" s="174" t="s">
        <v>74</v>
      </c>
      <c r="B21" s="38">
        <f>aantalw2001_elektriciteit</f>
        <v>210</v>
      </c>
      <c r="C21" s="170">
        <f>IF(ISERROR(B21/SUM($B$20,$B$21,$B$22)*100),0,B21/SUM($B$20,$B$21,$B$22)*100)</f>
        <v>71.917808219178085</v>
      </c>
      <c r="D21" s="232"/>
      <c r="E21" s="16"/>
    </row>
    <row r="22" spans="1:7">
      <c r="A22" s="174" t="s">
        <v>75</v>
      </c>
      <c r="B22" s="38">
        <f>aantalw2001_hout</f>
        <v>42</v>
      </c>
      <c r="C22" s="170">
        <f>IF(ISERROR(B22/SUM($B$20,$B$21,$B$22)*100),0,B22/SUM($B$20,$B$21,$B$22)*100)</f>
        <v>14.383561643835616</v>
      </c>
      <c r="D22" s="232"/>
      <c r="E22" s="16"/>
    </row>
    <row r="23" spans="1:7">
      <c r="A23" s="174" t="s">
        <v>76</v>
      </c>
      <c r="B23" s="38">
        <f>aantalw2001_niet_gespec</f>
        <v>57</v>
      </c>
      <c r="C23" s="169" t="s">
        <v>111</v>
      </c>
      <c r="D23" s="231"/>
      <c r="E23" s="16"/>
    </row>
    <row r="24" spans="1:7">
      <c r="A24" s="174" t="s">
        <v>77</v>
      </c>
      <c r="B24" s="38">
        <f>aantalw2001_steenkool</f>
        <v>93</v>
      </c>
      <c r="C24" s="169" t="s">
        <v>111</v>
      </c>
      <c r="D24" s="232"/>
      <c r="E24" s="16"/>
    </row>
    <row r="25" spans="1:7">
      <c r="A25" s="174" t="s">
        <v>78</v>
      </c>
      <c r="B25" s="38">
        <f>aantalw2001_stookolie</f>
        <v>3845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6252</v>
      </c>
      <c r="C28" s="37"/>
      <c r="D28" s="231"/>
    </row>
    <row r="29" spans="1:7" s="16" customFormat="1">
      <c r="A29" s="233" t="s">
        <v>666</v>
      </c>
      <c r="B29" s="38">
        <f>SUM(HH_hh_gas_aantal,HH_rest_gas_aantal)</f>
        <v>2839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2839</v>
      </c>
      <c r="C32" s="170">
        <f>IF(ISERROR(B32/SUM($B$32,$B$34,$B$35,$B$36,$B$38,$B$39)*100),0,B32/SUM($B$32,$B$34,$B$35,$B$36,$B$38,$B$39)*100)</f>
        <v>45.52597819114817</v>
      </c>
      <c r="D32" s="236"/>
      <c r="G32" s="16"/>
    </row>
    <row r="33" spans="1:7">
      <c r="A33" s="174" t="s">
        <v>72</v>
      </c>
      <c r="B33" s="35" t="s">
        <v>111</v>
      </c>
      <c r="C33" s="170"/>
      <c r="D33" s="236"/>
      <c r="G33" s="16"/>
    </row>
    <row r="34" spans="1:7">
      <c r="A34" s="174" t="s">
        <v>73</v>
      </c>
      <c r="B34" s="34">
        <f>IF((($B$28-$B$32-$B$39-$B$77-$B$38)*C20/100)&lt;0,0,($B$28-$B$32-$B$39-$B$77-$B$38)*C20/100)</f>
        <v>176.08219178082192</v>
      </c>
      <c r="C34" s="170">
        <f>IF(ISERROR(B34/SUM($B$32,$B$34,$B$35,$B$36,$B$38,$B$39)*100),0,B34/SUM($B$32,$B$34,$B$35,$B$36,$B$38,$B$39)*100)</f>
        <v>2.8236400221427504</v>
      </c>
      <c r="D34" s="236"/>
      <c r="G34" s="16"/>
    </row>
    <row r="35" spans="1:7">
      <c r="A35" s="174" t="s">
        <v>74</v>
      </c>
      <c r="B35" s="34">
        <f>IF((($B$28-$B$32-$B$39-$B$77-$B$38)*C21/100)&lt;0,0,($B$28-$B$32-$B$39-$B$77-$B$38)*C21/100)</f>
        <v>924.43150684931516</v>
      </c>
      <c r="C35" s="170">
        <f>IF(ISERROR(B35/SUM($B$32,$B$34,$B$35,$B$36,$B$38,$B$39)*100),0,B35/SUM($B$32,$B$34,$B$35,$B$36,$B$38,$B$39)*100)</f>
        <v>14.824110116249441</v>
      </c>
      <c r="D35" s="236"/>
      <c r="G35" s="16"/>
    </row>
    <row r="36" spans="1:7">
      <c r="A36" s="174" t="s">
        <v>75</v>
      </c>
      <c r="B36" s="34">
        <f>IF((($B$28-$B$32-$B$39-$B$77-$B$38)*C22/100)&lt;0,0,($B$28-$B$32-$B$39-$B$77-$B$38)*C22/100)</f>
        <v>184.88630136986302</v>
      </c>
      <c r="C36" s="170">
        <f>IF(ISERROR(B36/SUM($B$32,$B$34,$B$35,$B$36,$B$38,$B$39)*100),0,B36/SUM($B$32,$B$34,$B$35,$B$36,$B$38,$B$39)*100)</f>
        <v>2.9648220232498881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2111.6</v>
      </c>
      <c r="C39" s="170">
        <f>IF(ISERROR(B39/SUM($B$32,$B$34,$B$35,$B$36,$B$38,$B$39)*100),0,B39/SUM($B$32,$B$34,$B$35,$B$36,$B$38,$B$39)*100)</f>
        <v>33.861449647209746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2839</v>
      </c>
      <c r="C44" s="35" t="s">
        <v>111</v>
      </c>
      <c r="D44" s="177"/>
    </row>
    <row r="45" spans="1:7">
      <c r="A45" s="174" t="s">
        <v>72</v>
      </c>
      <c r="B45" s="34" t="str">
        <f t="shared" si="0"/>
        <v>-</v>
      </c>
      <c r="C45" s="35" t="s">
        <v>111</v>
      </c>
      <c r="D45" s="177"/>
    </row>
    <row r="46" spans="1:7">
      <c r="A46" s="174" t="s">
        <v>73</v>
      </c>
      <c r="B46" s="34">
        <f t="shared" si="0"/>
        <v>176.08219178082192</v>
      </c>
      <c r="C46" s="35" t="s">
        <v>111</v>
      </c>
      <c r="D46" s="177"/>
    </row>
    <row r="47" spans="1:7">
      <c r="A47" s="174" t="s">
        <v>74</v>
      </c>
      <c r="B47" s="34">
        <f t="shared" si="0"/>
        <v>924.43150684931516</v>
      </c>
      <c r="C47" s="35" t="s">
        <v>111</v>
      </c>
      <c r="D47" s="177"/>
    </row>
    <row r="48" spans="1:7">
      <c r="A48" s="174" t="s">
        <v>75</v>
      </c>
      <c r="B48" s="34">
        <f t="shared" si="0"/>
        <v>184.88630136986302</v>
      </c>
      <c r="C48" s="34">
        <f>B48*10</f>
        <v>1848.8630136986303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30835.781000000003</v>
      </c>
      <c r="C5" s="18">
        <f>IF(ISERROR('Eigen informatie GS &amp; warmtenet'!B58),0,'Eigen informatie GS &amp; warmtenet'!B58)</f>
        <v>0</v>
      </c>
      <c r="D5" s="31">
        <f>SUM(D6:D12)</f>
        <v>19706.417939999999</v>
      </c>
      <c r="E5" s="18">
        <f>SUM(E6:E12)</f>
        <v>241.65457452657378</v>
      </c>
      <c r="F5" s="18">
        <f>SUM(F6:F12)</f>
        <v>6485.9720643573628</v>
      </c>
      <c r="G5" s="19"/>
      <c r="H5" s="18"/>
      <c r="I5" s="18"/>
      <c r="J5" s="18">
        <f>SUM(J6:J12)</f>
        <v>0</v>
      </c>
      <c r="K5" s="18"/>
      <c r="L5" s="18"/>
      <c r="M5" s="18"/>
      <c r="N5" s="18">
        <f>SUM(N6:N12)</f>
        <v>2693.3865156152146</v>
      </c>
      <c r="O5" s="18">
        <f>B38*B39*B40</f>
        <v>0</v>
      </c>
      <c r="P5" s="18">
        <f>B46*B47*B48/1000-B46*B47*B48/1000/B49</f>
        <v>0</v>
      </c>
      <c r="R5" s="33"/>
    </row>
    <row r="6" spans="1:18">
      <c r="A6" s="33" t="s">
        <v>54</v>
      </c>
      <c r="B6" s="38">
        <f>B26</f>
        <v>7701.6459999999997</v>
      </c>
      <c r="C6" s="34"/>
      <c r="D6" s="38">
        <f>IF(ISERROR(TER_kantoor_gas_kWh/1000),0,TER_kantoor_gas_kWh/1000)*0.902</f>
        <v>6637.7350160000005</v>
      </c>
      <c r="E6" s="34">
        <f>$C$26*'E Balans VL '!I12/100/3.6*1000000</f>
        <v>12.639962023641587</v>
      </c>
      <c r="F6" s="34">
        <f>$C$26*('E Balans VL '!L12+'E Balans VL '!N12)/100/3.6*1000000</f>
        <v>907.84285351014034</v>
      </c>
      <c r="G6" s="35"/>
      <c r="H6" s="34"/>
      <c r="I6" s="34"/>
      <c r="J6" s="34">
        <f>$C$26*('E Balans VL '!D12+'E Balans VL '!E12)/100/3.6*1000000</f>
        <v>0</v>
      </c>
      <c r="K6" s="34"/>
      <c r="L6" s="34"/>
      <c r="M6" s="34"/>
      <c r="N6" s="34">
        <f>$C$26*'E Balans VL '!Y12/100/3.6*1000000</f>
        <v>1.5560811040204632</v>
      </c>
      <c r="O6" s="34"/>
      <c r="P6" s="34"/>
      <c r="R6" s="33"/>
    </row>
    <row r="7" spans="1:18">
      <c r="A7" s="33" t="s">
        <v>53</v>
      </c>
      <c r="B7" s="38">
        <f t="shared" ref="B7:B12" si="0">B27</f>
        <v>2229.7820000000002</v>
      </c>
      <c r="C7" s="34"/>
      <c r="D7" s="38">
        <f>IF(ISERROR(TER_horeca_gas_kWh/1000),0,TER_horeca_gas_kWh/1000)*0.902</f>
        <v>2149.838526</v>
      </c>
      <c r="E7" s="34">
        <f>$C$27*'E Balans VL '!I9/100/3.6*1000000</f>
        <v>115.70955075217086</v>
      </c>
      <c r="F7" s="34">
        <f>$C$27*('E Balans VL '!L9+'E Balans VL '!N9)/100/3.6*1000000</f>
        <v>508.83787033783796</v>
      </c>
      <c r="G7" s="35"/>
      <c r="H7" s="34"/>
      <c r="I7" s="34"/>
      <c r="J7" s="34">
        <f>$C$27*('E Balans VL '!D9+'E Balans VL '!E9)/100/3.6*1000000</f>
        <v>0</v>
      </c>
      <c r="K7" s="34"/>
      <c r="L7" s="34"/>
      <c r="M7" s="34"/>
      <c r="N7" s="34">
        <f>$C$27*'E Balans VL '!Y9/100/3.6*1000000</f>
        <v>0.23546395735781819</v>
      </c>
      <c r="O7" s="34"/>
      <c r="P7" s="34"/>
      <c r="R7" s="33"/>
    </row>
    <row r="8" spans="1:18">
      <c r="A8" s="6" t="s">
        <v>52</v>
      </c>
      <c r="B8" s="38">
        <f t="shared" si="0"/>
        <v>13745.915000000001</v>
      </c>
      <c r="C8" s="34"/>
      <c r="D8" s="38">
        <f>IF(ISERROR(TER_handel_gas_kWh/1000),0,TER_handel_gas_kWh/1000)*0.902</f>
        <v>4287.8500279999998</v>
      </c>
      <c r="E8" s="34">
        <f>$C$28*'E Balans VL '!I13/100/3.6*1000000</f>
        <v>74.023441423447522</v>
      </c>
      <c r="F8" s="34">
        <f>$C$28*('E Balans VL '!L13+'E Balans VL '!N13)/100/3.6*1000000</f>
        <v>2803.2005603022658</v>
      </c>
      <c r="G8" s="35"/>
      <c r="H8" s="34"/>
      <c r="I8" s="34"/>
      <c r="J8" s="34">
        <f>$C$28*('E Balans VL '!D13+'E Balans VL '!E13)/100/3.6*1000000</f>
        <v>0</v>
      </c>
      <c r="K8" s="34"/>
      <c r="L8" s="34"/>
      <c r="M8" s="34"/>
      <c r="N8" s="34">
        <f>$C$28*'E Balans VL '!Y13/100/3.6*1000000</f>
        <v>68.35117628526335</v>
      </c>
      <c r="O8" s="34"/>
      <c r="P8" s="34"/>
      <c r="R8" s="33"/>
    </row>
    <row r="9" spans="1:18">
      <c r="A9" s="33" t="s">
        <v>51</v>
      </c>
      <c r="B9" s="38">
        <f t="shared" si="0"/>
        <v>1915.472</v>
      </c>
      <c r="C9" s="34"/>
      <c r="D9" s="38">
        <f>IF(ISERROR(TER_gezond_gas_kWh/1000),0,TER_gezond_gas_kWh/1000)*0.902</f>
        <v>3831.5471700000003</v>
      </c>
      <c r="E9" s="34">
        <f>$C$29*'E Balans VL '!I10/100/3.6*1000000</f>
        <v>1.898254534657434</v>
      </c>
      <c r="F9" s="34">
        <f>$C$29*('E Balans VL '!L10+'E Balans VL '!N10)/100/3.6*1000000</f>
        <v>664.61357263774846</v>
      </c>
      <c r="G9" s="35"/>
      <c r="H9" s="34"/>
      <c r="I9" s="34"/>
      <c r="J9" s="34">
        <f>$C$29*('E Balans VL '!D10+'E Balans VL '!E10)/100/3.6*1000000</f>
        <v>0</v>
      </c>
      <c r="K9" s="34"/>
      <c r="L9" s="34"/>
      <c r="M9" s="34"/>
      <c r="N9" s="34">
        <f>$C$29*'E Balans VL '!Y10/100/3.6*1000000</f>
        <v>16.505456287456191</v>
      </c>
      <c r="O9" s="34"/>
      <c r="P9" s="34"/>
      <c r="R9" s="33"/>
    </row>
    <row r="10" spans="1:18">
      <c r="A10" s="33" t="s">
        <v>50</v>
      </c>
      <c r="B10" s="38">
        <f t="shared" si="0"/>
        <v>4514.665</v>
      </c>
      <c r="C10" s="34"/>
      <c r="D10" s="38">
        <f>IF(ISERROR(TER_ander_gas_kWh/1000),0,TER_ander_gas_kWh/1000)*0.902</f>
        <v>1321.676246</v>
      </c>
      <c r="E10" s="34">
        <f>$C$30*'E Balans VL '!I14/100/3.6*1000000</f>
        <v>36.934471786326476</v>
      </c>
      <c r="F10" s="34">
        <f>$C$30*('E Balans VL '!L14+'E Balans VL '!N14)/100/3.6*1000000</f>
        <v>1319.9042463755131</v>
      </c>
      <c r="G10" s="35"/>
      <c r="H10" s="34"/>
      <c r="I10" s="34"/>
      <c r="J10" s="34">
        <f>$C$30*('E Balans VL '!D14+'E Balans VL '!E14)/100/3.6*1000000</f>
        <v>0</v>
      </c>
      <c r="K10" s="34"/>
      <c r="L10" s="34"/>
      <c r="M10" s="34"/>
      <c r="N10" s="34">
        <f>$C$30*'E Balans VL '!Y14/100/3.6*1000000</f>
        <v>2604.3693308996885</v>
      </c>
      <c r="O10" s="34"/>
      <c r="P10" s="34"/>
      <c r="R10" s="33"/>
    </row>
    <row r="11" spans="1:18">
      <c r="A11" s="33" t="s">
        <v>55</v>
      </c>
      <c r="B11" s="38">
        <f t="shared" si="0"/>
        <v>728.30100000000004</v>
      </c>
      <c r="C11" s="34"/>
      <c r="D11" s="38">
        <f>IF(ISERROR(TER_onderwijs_gas_kWh/1000),0,TER_onderwijs_gas_kWh/1000)*0.902</f>
        <v>1477.7709540000001</v>
      </c>
      <c r="E11" s="34">
        <f>$C$31*'E Balans VL '!I11/100/3.6*1000000</f>
        <v>0.44889400632987281</v>
      </c>
      <c r="F11" s="34">
        <f>$C$31*('E Balans VL '!L11+'E Balans VL '!N11)/100/3.6*1000000</f>
        <v>281.5729611938566</v>
      </c>
      <c r="G11" s="35"/>
      <c r="H11" s="34"/>
      <c r="I11" s="34"/>
      <c r="J11" s="34">
        <f>$C$31*('E Balans VL '!D11+'E Balans VL '!E11)/100/3.6*1000000</f>
        <v>0</v>
      </c>
      <c r="K11" s="34"/>
      <c r="L11" s="34"/>
      <c r="M11" s="34"/>
      <c r="N11" s="34">
        <f>$C$31*'E Balans VL '!Y11/100/3.6*1000000</f>
        <v>2.3690070814280535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30835.781000000003</v>
      </c>
      <c r="C16" s="22">
        <f t="shared" ca="1" si="1"/>
        <v>0</v>
      </c>
      <c r="D16" s="22">
        <f t="shared" ca="1" si="1"/>
        <v>19706.417939999999</v>
      </c>
      <c r="E16" s="22">
        <f t="shared" si="1"/>
        <v>241.65457452657378</v>
      </c>
      <c r="F16" s="22">
        <f t="shared" ca="1" si="1"/>
        <v>6485.9720643573628</v>
      </c>
      <c r="G16" s="22">
        <f t="shared" si="1"/>
        <v>0</v>
      </c>
      <c r="H16" s="22">
        <f t="shared" si="1"/>
        <v>0</v>
      </c>
      <c r="I16" s="22">
        <f t="shared" si="1"/>
        <v>0</v>
      </c>
      <c r="J16" s="22">
        <f t="shared" si="1"/>
        <v>0</v>
      </c>
      <c r="K16" s="22">
        <f t="shared" si="1"/>
        <v>0</v>
      </c>
      <c r="L16" s="22">
        <f t="shared" ca="1" si="1"/>
        <v>0</v>
      </c>
      <c r="M16" s="22">
        <f t="shared" si="1"/>
        <v>0</v>
      </c>
      <c r="N16" s="22">
        <f t="shared" ca="1" si="1"/>
        <v>2693.3865156152146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0.20319866882762652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6265.7896514602189</v>
      </c>
      <c r="C20" s="24">
        <f t="shared" ref="C20:P20" ca="1" si="2">C16*C18</f>
        <v>0</v>
      </c>
      <c r="D20" s="24">
        <f t="shared" ca="1" si="2"/>
        <v>3980.6964238800001</v>
      </c>
      <c r="E20" s="24">
        <f t="shared" si="2"/>
        <v>54.855588417532253</v>
      </c>
      <c r="F20" s="24">
        <f t="shared" ca="1" si="2"/>
        <v>1731.754541183416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7701.6459999999997</v>
      </c>
      <c r="C26" s="40">
        <f>IF(ISERROR(B26*3.6/1000000/'E Balans VL '!Z12*100),0,B26*3.6/1000000/'E Balans VL '!Z12*100)</f>
        <v>0.16365445441056581</v>
      </c>
      <c r="D26" s="240" t="s">
        <v>707</v>
      </c>
      <c r="F26" s="6"/>
    </row>
    <row r="27" spans="1:18">
      <c r="A27" s="234" t="s">
        <v>53</v>
      </c>
      <c r="B27" s="34">
        <f>IF(ISERROR(TER_horeca_ele_kWh/1000),0,TER_horeca_ele_kWh/1000)</f>
        <v>2229.7820000000002</v>
      </c>
      <c r="C27" s="40">
        <f>IF(ISERROR(B27*3.6/1000000/'E Balans VL '!Z9*100),0,B27*3.6/1000000/'E Balans VL '!Z9*100)</f>
        <v>0.17550108622942973</v>
      </c>
      <c r="D27" s="240" t="s">
        <v>707</v>
      </c>
      <c r="F27" s="6"/>
    </row>
    <row r="28" spans="1:18">
      <c r="A28" s="174" t="s">
        <v>52</v>
      </c>
      <c r="B28" s="34">
        <f>IF(ISERROR(TER_handel_ele_kWh/1000),0,TER_handel_ele_kWh/1000)</f>
        <v>13745.915000000001</v>
      </c>
      <c r="C28" s="40">
        <f>IF(ISERROR(B28*3.6/1000000/'E Balans VL '!Z13*100),0,B28*3.6/1000000/'E Balans VL '!Z13*100)</f>
        <v>0.38503043567327461</v>
      </c>
      <c r="D28" s="240" t="s">
        <v>707</v>
      </c>
      <c r="F28" s="6"/>
    </row>
    <row r="29" spans="1:18">
      <c r="A29" s="234" t="s">
        <v>51</v>
      </c>
      <c r="B29" s="34">
        <f>IF(ISERROR(TER_gezond_ele_kWh/1000),0,TER_gezond_ele_kWh/1000)</f>
        <v>1915.472</v>
      </c>
      <c r="C29" s="40">
        <f>IF(ISERROR(B29*3.6/1000000/'E Balans VL '!Z10*100),0,B29*3.6/1000000/'E Balans VL '!Z10*100)</f>
        <v>0.24504679034052521</v>
      </c>
      <c r="D29" s="240" t="s">
        <v>707</v>
      </c>
      <c r="F29" s="6"/>
    </row>
    <row r="30" spans="1:18">
      <c r="A30" s="234" t="s">
        <v>50</v>
      </c>
      <c r="B30" s="34">
        <f>IF(ISERROR(TER_ander_ele_kWh/1000),0,TER_ander_ele_kWh/1000)</f>
        <v>4514.665</v>
      </c>
      <c r="C30" s="40">
        <f>IF(ISERROR(B30*3.6/1000000/'E Balans VL '!Z14*100),0,B30*3.6/1000000/'E Balans VL '!Z14*100)</f>
        <v>0.33765890076817151</v>
      </c>
      <c r="D30" s="240" t="s">
        <v>707</v>
      </c>
      <c r="F30" s="6"/>
    </row>
    <row r="31" spans="1:18">
      <c r="A31" s="234" t="s">
        <v>55</v>
      </c>
      <c r="B31" s="34">
        <f>IF(ISERROR(TER_onderwijs_ele_kWh/1000),0,TER_onderwijs_ele_kWh/1000)</f>
        <v>728.30100000000004</v>
      </c>
      <c r="C31" s="40">
        <f>IF(ISERROR(B31*3.6/1000000/'E Balans VL '!Z11*100),0,B31*3.6/1000000/'E Balans VL '!Z11*100)</f>
        <v>0.15378169954093174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36997.619999999995</v>
      </c>
      <c r="C5" s="18">
        <f>IF(ISERROR('Eigen informatie GS &amp; warmtenet'!B59),0,'Eigen informatie GS &amp; warmtenet'!B59)</f>
        <v>0</v>
      </c>
      <c r="D5" s="31">
        <f>SUM(D6:D15)</f>
        <v>119192.190436</v>
      </c>
      <c r="E5" s="18">
        <f>SUM(E6:E15)</f>
        <v>357.33161015567714</v>
      </c>
      <c r="F5" s="18">
        <f>SUM(F6:F15)</f>
        <v>5684.1273499895215</v>
      </c>
      <c r="G5" s="19"/>
      <c r="H5" s="18"/>
      <c r="I5" s="18"/>
      <c r="J5" s="18">
        <f>SUM(J6:J15)</f>
        <v>163.66116620722363</v>
      </c>
      <c r="K5" s="18"/>
      <c r="L5" s="18"/>
      <c r="M5" s="18"/>
      <c r="N5" s="18">
        <f>SUM(N6:N15)</f>
        <v>593.46057336553804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9670.4619999999995</v>
      </c>
      <c r="C8" s="34"/>
      <c r="D8" s="38">
        <f>IF( ISERROR(IND_metaal_Gas_kWH/1000),0,IND_metaal_Gas_kWH/1000)*0.902</f>
        <v>2763.3067660000002</v>
      </c>
      <c r="E8" s="34">
        <f>C30*'E Balans VL '!I18/100/3.6*1000000</f>
        <v>88.067154697274532</v>
      </c>
      <c r="F8" s="34">
        <f>C30*'E Balans VL '!L18/100/3.6*1000000+C30*'E Balans VL '!N18/100/3.6*1000000</f>
        <v>1275.4604990502221</v>
      </c>
      <c r="G8" s="35"/>
      <c r="H8" s="34"/>
      <c r="I8" s="34"/>
      <c r="J8" s="41">
        <f>C30*'E Balans VL '!D18/100/3.6*1000000+C30*'E Balans VL '!E18/100/3.6*1000000</f>
        <v>158.58153579477747</v>
      </c>
      <c r="K8" s="34"/>
      <c r="L8" s="34"/>
      <c r="M8" s="34"/>
      <c r="N8" s="34">
        <f>C30*'E Balans VL '!Y18/100/3.6*1000000</f>
        <v>33.233536312824903</v>
      </c>
      <c r="O8" s="34"/>
      <c r="P8" s="34"/>
      <c r="R8" s="33"/>
    </row>
    <row r="9" spans="1:18">
      <c r="A9" s="6" t="s">
        <v>33</v>
      </c>
      <c r="B9" s="38">
        <f t="shared" si="0"/>
        <v>1849.5229999999999</v>
      </c>
      <c r="C9" s="34"/>
      <c r="D9" s="38">
        <f>IF( ISERROR(IND_andere_gas_kWh/1000),0,IND_andere_gas_kWh/1000)*0.902</f>
        <v>1252.7598379999999</v>
      </c>
      <c r="E9" s="34">
        <f>C31*'E Balans VL '!I19/100/3.6*1000000</f>
        <v>10.690519328351446</v>
      </c>
      <c r="F9" s="34">
        <f>C31*'E Balans VL '!L19/100/3.6*1000000+C31*'E Balans VL '!N19/100/3.6*1000000</f>
        <v>1471.3845420250777</v>
      </c>
      <c r="G9" s="35"/>
      <c r="H9" s="34"/>
      <c r="I9" s="34"/>
      <c r="J9" s="41">
        <f>C31*'E Balans VL '!D19/100/3.6*1000000+C31*'E Balans VL '!E19/100/3.6*1000000</f>
        <v>0.17494433188039779</v>
      </c>
      <c r="K9" s="34"/>
      <c r="L9" s="34"/>
      <c r="M9" s="34"/>
      <c r="N9" s="34">
        <f>C31*'E Balans VL '!Y19/100/3.6*1000000</f>
        <v>140.12935664982584</v>
      </c>
      <c r="O9" s="34"/>
      <c r="P9" s="34"/>
      <c r="R9" s="33"/>
    </row>
    <row r="10" spans="1:18">
      <c r="A10" s="6" t="s">
        <v>41</v>
      </c>
      <c r="B10" s="38">
        <f t="shared" si="0"/>
        <v>24520.868999999999</v>
      </c>
      <c r="C10" s="34"/>
      <c r="D10" s="38">
        <f>IF( ISERROR(IND_voed_gas_kWh/1000),0,IND_voed_gas_kWh/1000)*0.902</f>
        <v>113582.111236</v>
      </c>
      <c r="E10" s="34">
        <f>C32*'E Balans VL '!I20/100/3.6*1000000</f>
        <v>241.10429257367218</v>
      </c>
      <c r="F10" s="34">
        <f>C32*'E Balans VL '!L20/100/3.6*1000000+C32*'E Balans VL '!N20/100/3.6*1000000</f>
        <v>2723.3625646332293</v>
      </c>
      <c r="G10" s="35"/>
      <c r="H10" s="34"/>
      <c r="I10" s="34"/>
      <c r="J10" s="41">
        <f>C32*'E Balans VL '!D20/100/3.6*1000000+C32*'E Balans VL '!E20/100/3.6*1000000</f>
        <v>9.6647876533699661E-2</v>
      </c>
      <c r="K10" s="34"/>
      <c r="L10" s="34"/>
      <c r="M10" s="34"/>
      <c r="N10" s="34">
        <f>C32*'E Balans VL '!Y20/100/3.6*1000000</f>
        <v>363.09639072628249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365.61500000000001</v>
      </c>
      <c r="C12" s="34"/>
      <c r="D12" s="38">
        <f>IF( ISERROR(IND_min_gas_kWh/1000),0,IND_min_gas_kWh/1000)*0.902</f>
        <v>94.072286000000005</v>
      </c>
      <c r="E12" s="34">
        <f>C34*'E Balans VL '!I22/100/3.6*1000000</f>
        <v>9.2689908600928987</v>
      </c>
      <c r="F12" s="34">
        <f>C34*'E Balans VL '!L22/100/3.6*1000000+C34*'E Balans VL '!N22/100/3.6*1000000</f>
        <v>101.16694488408906</v>
      </c>
      <c r="G12" s="35"/>
      <c r="H12" s="34"/>
      <c r="I12" s="34"/>
      <c r="J12" s="41">
        <f>C34*'E Balans VL '!D22/100/3.6*1000000+C34*'E Balans VL '!E22/100/3.6*1000000</f>
        <v>2.4145949306734802</v>
      </c>
      <c r="K12" s="34"/>
      <c r="L12" s="34"/>
      <c r="M12" s="34"/>
      <c r="N12" s="34">
        <f>C34*'E Balans VL '!Y22/100/3.6*1000000</f>
        <v>0</v>
      </c>
      <c r="O12" s="34"/>
      <c r="P12" s="34"/>
      <c r="R12" s="33"/>
    </row>
    <row r="13" spans="1:18">
      <c r="A13" s="6" t="s">
        <v>39</v>
      </c>
      <c r="B13" s="38">
        <f t="shared" si="0"/>
        <v>115.20099999999999</v>
      </c>
      <c r="C13" s="34"/>
      <c r="D13" s="38">
        <f>IF( ISERROR(IND_papier_gas_kWh/1000),0,IND_papier_gas_kWh/1000)*0.902</f>
        <v>150.017934</v>
      </c>
      <c r="E13" s="34">
        <f>C35*'E Balans VL '!I23/100/3.6*1000000</f>
        <v>3.9239130906510495</v>
      </c>
      <c r="F13" s="34">
        <f>C35*'E Balans VL '!L23/100/3.6*1000000+C35*'E Balans VL '!N23/100/3.6*1000000</f>
        <v>19.028501490728878</v>
      </c>
      <c r="G13" s="35"/>
      <c r="H13" s="34"/>
      <c r="I13" s="34"/>
      <c r="J13" s="41">
        <f>C35*'E Balans VL '!D23/100/3.6*1000000+C35*'E Balans VL '!E23/100/3.6*1000000</f>
        <v>0</v>
      </c>
      <c r="K13" s="34"/>
      <c r="L13" s="34"/>
      <c r="M13" s="34"/>
      <c r="N13" s="34">
        <f>C35*'E Balans VL '!Y23/100/3.6*1000000</f>
        <v>42.390878548674429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475.95</v>
      </c>
      <c r="C15" s="34"/>
      <c r="D15" s="38">
        <f>IF( ISERROR(IND_rest_gas_kWh/1000),0,IND_rest_gas_kWh/1000)*0.902</f>
        <v>1349.922376</v>
      </c>
      <c r="E15" s="34">
        <f>C37*'E Balans VL '!I15/100/3.6*1000000</f>
        <v>4.2767396056349636</v>
      </c>
      <c r="F15" s="34">
        <f>C37*'E Balans VL '!L15/100/3.6*1000000+C37*'E Balans VL '!N15/100/3.6*1000000</f>
        <v>93.724297906174527</v>
      </c>
      <c r="G15" s="35"/>
      <c r="H15" s="34"/>
      <c r="I15" s="34"/>
      <c r="J15" s="41">
        <f>C37*'E Balans VL '!D15/100/3.6*1000000+C37*'E Balans VL '!E15/100/3.6*1000000</f>
        <v>2.3934432733585864</v>
      </c>
      <c r="K15" s="34"/>
      <c r="L15" s="34"/>
      <c r="M15" s="34"/>
      <c r="N15" s="34">
        <f>C37*'E Balans VL '!Y15/100/3.6*1000000</f>
        <v>14.610411127930302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36997.619999999995</v>
      </c>
      <c r="C18" s="22">
        <f>C5+C16</f>
        <v>0</v>
      </c>
      <c r="D18" s="22">
        <f>MAX((D5+D16),0)</f>
        <v>119192.190436</v>
      </c>
      <c r="E18" s="22">
        <f>MAX((E5+E16),0)</f>
        <v>357.33161015567714</v>
      </c>
      <c r="F18" s="22">
        <f>MAX((F5+F16),0)</f>
        <v>5684.1273499895215</v>
      </c>
      <c r="G18" s="22"/>
      <c r="H18" s="22"/>
      <c r="I18" s="22"/>
      <c r="J18" s="22">
        <f>MAX((J5+J16),0)</f>
        <v>163.66116620722363</v>
      </c>
      <c r="K18" s="22"/>
      <c r="L18" s="22">
        <f>MAX((L5+L16),0)</f>
        <v>0</v>
      </c>
      <c r="M18" s="22"/>
      <c r="N18" s="22">
        <f>MAX((N5+N16),0)</f>
        <v>593.46057336553804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0.20319866882762652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7517.8671337903706</v>
      </c>
      <c r="C22" s="24">
        <f ca="1">C18*C20</f>
        <v>0</v>
      </c>
      <c r="D22" s="24">
        <f>D18*D20</f>
        <v>24076.822468072001</v>
      </c>
      <c r="E22" s="24">
        <f>E18*E20</f>
        <v>81.114275505338711</v>
      </c>
      <c r="F22" s="24">
        <f>F18*F20</f>
        <v>1517.6620024472022</v>
      </c>
      <c r="G22" s="24"/>
      <c r="H22" s="24"/>
      <c r="I22" s="24"/>
      <c r="J22" s="24">
        <f>J18*J20</f>
        <v>57.93605283735716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9670.4619999999995</v>
      </c>
      <c r="C30" s="40">
        <f>IF(ISERROR(B30*3.6/1000000/'E Balans VL '!Z18*100),0,B30*3.6/1000000/'E Balans VL '!Z18*100)</f>
        <v>0.53809654447542199</v>
      </c>
      <c r="D30" s="240" t="s">
        <v>707</v>
      </c>
    </row>
    <row r="31" spans="1:18">
      <c r="A31" s="6" t="s">
        <v>33</v>
      </c>
      <c r="B31" s="38">
        <f>IF( ISERROR(IND_ander_ele_kWh/1000),0,IND_ander_ele_kWh/1000)</f>
        <v>1849.5229999999999</v>
      </c>
      <c r="C31" s="40">
        <f>IF(ISERROR(B31*3.6/1000000/'E Balans VL '!Z19*100),0,B31*3.6/1000000/'E Balans VL '!Z19*100)</f>
        <v>8.5979466862721121E-2</v>
      </c>
      <c r="D31" s="240" t="s">
        <v>707</v>
      </c>
    </row>
    <row r="32" spans="1:18">
      <c r="A32" s="174" t="s">
        <v>41</v>
      </c>
      <c r="B32" s="38">
        <f>IF( ISERROR(IND_voed_ele_kWh/1000),0,IND_voed_ele_kWh/1000)</f>
        <v>24520.868999999999</v>
      </c>
      <c r="C32" s="40">
        <f>IF(ISERROR(B32*3.6/1000000/'E Balans VL '!Z20*100),0,B32*3.6/1000000/'E Balans VL '!Z20*100)</f>
        <v>0.8667631971577765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365.61500000000001</v>
      </c>
      <c r="C34" s="40">
        <f>IF(ISERROR(B34*3.6/1000000/'E Balans VL '!Z22*100),0,B34*3.6/1000000/'E Balans VL '!Z22*100)</f>
        <v>7.347830500531391E-2</v>
      </c>
      <c r="D34" s="240" t="s">
        <v>707</v>
      </c>
    </row>
    <row r="35" spans="1:5">
      <c r="A35" s="174" t="s">
        <v>39</v>
      </c>
      <c r="B35" s="38">
        <f>IF( ISERROR(IND_papier_ele_kWh/1000),0,IND_papier_ele_kWh/1000)</f>
        <v>115.20099999999999</v>
      </c>
      <c r="C35" s="40">
        <f>IF(ISERROR(B35*3.6/1000000/'E Balans VL '!Z22*100),0,B35*3.6/1000000/'E Balans VL '!Z22*100)</f>
        <v>2.3152152441549625E-2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475.95</v>
      </c>
      <c r="C37" s="40">
        <f>IF(ISERROR(B37*3.6/1000000/'E Balans VL '!Z15*100),0,B37*3.6/1000000/'E Balans VL '!Z15*100)</f>
        <v>3.5941255844668951E-3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5736.4970000000003</v>
      </c>
      <c r="C5" s="18">
        <f>'Eigen informatie GS &amp; warmtenet'!B60</f>
        <v>0</v>
      </c>
      <c r="D5" s="31">
        <f>IF(ISERROR(SUM(LB_lb_gas_kWh,LB_rest_gas_kWh,onbekend_gas_kWh)/1000),0,SUM(LB_lb_gas_kWh,LB_rest_gas_kWh,onbekend_gas_kWh)/1000)*0.902</f>
        <v>5014.1223880000007</v>
      </c>
      <c r="E5" s="18">
        <f>B17*'E Balans VL '!I25/3.6*1000000/100</f>
        <v>54.041645319071286</v>
      </c>
      <c r="F5" s="18">
        <f>B17*('E Balans VL '!L25/3.6*1000000+'E Balans VL '!N25/3.6*1000000)/100</f>
        <v>18720.093487158465</v>
      </c>
      <c r="G5" s="19"/>
      <c r="H5" s="18"/>
      <c r="I5" s="18"/>
      <c r="J5" s="18">
        <f>('E Balans VL '!D25+'E Balans VL '!E25)/3.6*1000000*landbouw!B17/100</f>
        <v>709.63258121604815</v>
      </c>
      <c r="K5" s="18"/>
      <c r="L5" s="18">
        <f>L6*(-1)</f>
        <v>0</v>
      </c>
      <c r="M5" s="18"/>
      <c r="N5" s="18">
        <f>N6*(-1)</f>
        <v>374.14285714285711</v>
      </c>
      <c r="O5" s="18"/>
      <c r="P5" s="18"/>
      <c r="R5" s="33"/>
    </row>
    <row r="6" spans="1:18">
      <c r="A6" s="17" t="s">
        <v>502</v>
      </c>
      <c r="B6" s="18" t="s">
        <v>211</v>
      </c>
      <c r="C6" s="18">
        <f>'lokale energieproductie'!O91+'lokale energieproductie'!O60</f>
        <v>187.07142857142856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5736.4970000000003</v>
      </c>
      <c r="C8" s="22">
        <f>C5+C6</f>
        <v>187.07142857142856</v>
      </c>
      <c r="D8" s="22">
        <f>MAX((D5+D6),0)</f>
        <v>5014.1223880000007</v>
      </c>
      <c r="E8" s="22">
        <f>MAX((E5+E6),0)</f>
        <v>54.041645319071286</v>
      </c>
      <c r="F8" s="22">
        <f>MAX((F5+F6),0)</f>
        <v>18720.093487158465</v>
      </c>
      <c r="G8" s="22"/>
      <c r="H8" s="22"/>
      <c r="I8" s="22"/>
      <c r="J8" s="22">
        <f>MAX((J5+J6),0)</f>
        <v>709.63258121604815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0.20319866882762652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1165.6485541336731</v>
      </c>
      <c r="C12" s="24">
        <f ca="1">C8*C10</f>
        <v>0</v>
      </c>
      <c r="D12" s="24">
        <f>D8*D10</f>
        <v>1012.8527223760002</v>
      </c>
      <c r="E12" s="24">
        <f>E8*E10</f>
        <v>12.267453487429183</v>
      </c>
      <c r="F12" s="24">
        <f>F8*F10</f>
        <v>4998.2649610713106</v>
      </c>
      <c r="G12" s="24"/>
      <c r="H12" s="24"/>
      <c r="I12" s="24"/>
      <c r="J12" s="24">
        <f>J8*J10</f>
        <v>251.20993375048104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0.77663002750823351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875.64048772456601</v>
      </c>
      <c r="C26" s="250">
        <f>B26*'GWP N2O_CH4'!B5</f>
        <v>18388.450242215888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363.1017963751874</v>
      </c>
      <c r="C27" s="250">
        <f>B27*'GWP N2O_CH4'!B5</f>
        <v>7625.1377238789355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11.332269078268109</v>
      </c>
      <c r="C28" s="250">
        <f>B28*'GWP N2O_CH4'!B4</f>
        <v>3513.0034142631139</v>
      </c>
      <c r="D28" s="51"/>
    </row>
    <row r="29" spans="1:4">
      <c r="A29" s="42" t="s">
        <v>277</v>
      </c>
      <c r="B29" s="250">
        <f>B34*'ha_N2O bodem landbouw'!B4</f>
        <v>22.563357618288649</v>
      </c>
      <c r="C29" s="250">
        <f>B29*'GWP N2O_CH4'!B4</f>
        <v>6994.6408616694807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6.091396256419343E-3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8.4917909345691808E-6</v>
      </c>
      <c r="C5" s="447" t="s">
        <v>211</v>
      </c>
      <c r="D5" s="432">
        <f>SUM(D6:D11)</f>
        <v>2.341915687118696E-5</v>
      </c>
      <c r="E5" s="432">
        <f>SUM(E6:E11)</f>
        <v>1.3584997939735134E-3</v>
      </c>
      <c r="F5" s="445" t="s">
        <v>211</v>
      </c>
      <c r="G5" s="432">
        <f>SUM(G6:G11)</f>
        <v>0.27508034719590113</v>
      </c>
      <c r="H5" s="432">
        <f>SUM(H6:H11)</f>
        <v>5.2047000400416904E-2</v>
      </c>
      <c r="I5" s="447" t="s">
        <v>211</v>
      </c>
      <c r="J5" s="447" t="s">
        <v>211</v>
      </c>
      <c r="K5" s="447" t="s">
        <v>211</v>
      </c>
      <c r="L5" s="447" t="s">
        <v>211</v>
      </c>
      <c r="M5" s="432">
        <f>SUM(M6:M11)</f>
        <v>1.4630198406205356E-2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7.1088404796303115E-6</v>
      </c>
      <c r="C6" s="433"/>
      <c r="D6" s="433">
        <f>vkm_2011_GW_PW*SUMIFS(TableVerdeelsleutelVkm[CNG],TableVerdeelsleutelVkm[Voertuigtype],"Lichte voertuigen")*SUMIFS(TableECFTransport[EnergieConsumptieFactor (PJ per km)],TableECFTransport[Index],CONCATENATE($A6,"_CNG_CNG"))</f>
        <v>1.7359907503765455E-5</v>
      </c>
      <c r="E6" s="435">
        <f>vkm_2011_GW_PW*SUMIFS(TableVerdeelsleutelVkm[LPG],TableVerdeelsleutelVkm[Voertuigtype],"Lichte voertuigen")*SUMIFS(TableECFTransport[EnergieConsumptieFactor (PJ per km)],TableECFTransport[Index],CONCATENATE($A6,"_LPG_LPG"))</f>
        <v>1.0290056032338799E-3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0.14875486463057361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3.8984376371577388E-2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8.4073089550944381E-3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7.7456231056468997E-2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3.1250569466660074E-5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3.450651128775606E-3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1.3829504549388687E-6</v>
      </c>
      <c r="C8" s="433"/>
      <c r="D8" s="435">
        <f>vkm_2011_NGW_PW*SUMIFS(TableVerdeelsleutelVkm[CNG],TableVerdeelsleutelVkm[Voertuigtype],"Lichte voertuigen")*SUMIFS(TableECFTransport[EnergieConsumptieFactor (PJ per km)],TableECFTransport[Index],CONCATENATE($A8,"_CNG_CNG"))</f>
        <v>6.059249367421506E-6</v>
      </c>
      <c r="E8" s="435">
        <f>vkm_2011_NGW_PW*SUMIFS(TableVerdeelsleutelVkm[LPG],TableVerdeelsleutelVkm[Voertuigtype],"Lichte voertuigen")*SUMIFS(TableECFTransport[EnergieConsumptieFactor (PJ per km)],TableECFTransport[Index],CONCATENATE($A8,"_LPG_LPG"))</f>
        <v>3.2949419073963351E-4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4.499748074075044E-2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1.3030013338329169E-2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2.5997613710561345E-3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3.8717707681080486E-3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1.3601210436905715E-6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1.7247695127917749E-4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2.3588308151581057</v>
      </c>
      <c r="C14" s="22"/>
      <c r="D14" s="22">
        <f t="shared" ref="D14:M14" si="0">((D5)*10^9/3600)+D12</f>
        <v>6.5053213531074885</v>
      </c>
      <c r="E14" s="22">
        <f t="shared" si="0"/>
        <v>377.36105388153152</v>
      </c>
      <c r="F14" s="22"/>
      <c r="G14" s="22">
        <f t="shared" si="0"/>
        <v>76411.207554416993</v>
      </c>
      <c r="H14" s="22">
        <f t="shared" si="0"/>
        <v>14457.500111226918</v>
      </c>
      <c r="I14" s="22"/>
      <c r="J14" s="22"/>
      <c r="K14" s="22"/>
      <c r="L14" s="22"/>
      <c r="M14" s="22">
        <f t="shared" si="0"/>
        <v>4063.9440017237102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0.20319866882762652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0.4793112816297122</v>
      </c>
      <c r="C18" s="24"/>
      <c r="D18" s="24">
        <f t="shared" ref="D18:M18" si="1">D14*D16</f>
        <v>1.3140749133277128</v>
      </c>
      <c r="E18" s="24">
        <f t="shared" si="1"/>
        <v>85.660959231107654</v>
      </c>
      <c r="F18" s="24"/>
      <c r="G18" s="24">
        <f t="shared" si="1"/>
        <v>20401.792417029337</v>
      </c>
      <c r="H18" s="24">
        <f t="shared" si="1"/>
        <v>3599.9175276955025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8.1999273619991642E-3</v>
      </c>
      <c r="H50" s="323">
        <f t="shared" si="2"/>
        <v>0</v>
      </c>
      <c r="I50" s="323">
        <f t="shared" si="2"/>
        <v>0</v>
      </c>
      <c r="J50" s="323">
        <f t="shared" si="2"/>
        <v>0</v>
      </c>
      <c r="K50" s="323">
        <f t="shared" si="2"/>
        <v>0</v>
      </c>
      <c r="L50" s="323">
        <f t="shared" si="2"/>
        <v>0</v>
      </c>
      <c r="M50" s="323">
        <f t="shared" si="2"/>
        <v>3.6007233709167219E-4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8.1999273619991642E-3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3.6007233709167219E-4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2277.7576005553233</v>
      </c>
      <c r="H54" s="22">
        <f t="shared" si="3"/>
        <v>0</v>
      </c>
      <c r="I54" s="22">
        <f t="shared" si="3"/>
        <v>0</v>
      </c>
      <c r="J54" s="22">
        <f t="shared" si="3"/>
        <v>0</v>
      </c>
      <c r="K54" s="22">
        <f t="shared" si="3"/>
        <v>0</v>
      </c>
      <c r="L54" s="22">
        <f t="shared" si="3"/>
        <v>0</v>
      </c>
      <c r="M54" s="22">
        <f t="shared" si="3"/>
        <v>100.02009363657561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0.20319866882762652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608.16127934827136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8231.533005168274</v>
      </c>
      <c r="C6" s="1190"/>
      <c r="D6" s="1193"/>
      <c r="E6" s="1193"/>
      <c r="F6" s="1196"/>
      <c r="G6" s="1199"/>
      <c r="H6" s="1187"/>
      <c r="I6" s="1193"/>
      <c r="J6" s="1193"/>
      <c r="K6" s="1193"/>
      <c r="L6" s="1223"/>
      <c r="M6" s="560"/>
      <c r="N6" s="1235"/>
      <c r="O6" s="1236"/>
      <c r="Q6" s="558"/>
      <c r="R6" s="1220"/>
      <c r="S6" s="1220"/>
    </row>
    <row r="7" spans="1:19" s="548" customFormat="1">
      <c r="A7" s="561" t="s">
        <v>252</v>
      </c>
      <c r="B7" s="562">
        <f>N57</f>
        <v>130.94999999999999</v>
      </c>
      <c r="C7" s="563">
        <f>B100</f>
        <v>0</v>
      </c>
      <c r="D7" s="564"/>
      <c r="E7" s="564">
        <f>E100</f>
        <v>0</v>
      </c>
      <c r="F7" s="565"/>
      <c r="G7" s="566"/>
      <c r="H7" s="564">
        <f>I100</f>
        <v>0</v>
      </c>
      <c r="I7" s="564">
        <f>G100+F100</f>
        <v>0</v>
      </c>
      <c r="J7" s="564">
        <f>H100+D100+C100</f>
        <v>154.05882352941174</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8362.4830051682748</v>
      </c>
      <c r="C9" s="579">
        <f t="shared" ref="C9:L9" si="0">SUM(C7:C8)</f>
        <v>0</v>
      </c>
      <c r="D9" s="579">
        <f t="shared" si="0"/>
        <v>0</v>
      </c>
      <c r="E9" s="579">
        <f t="shared" si="0"/>
        <v>0</v>
      </c>
      <c r="F9" s="579">
        <f t="shared" si="0"/>
        <v>0</v>
      </c>
      <c r="G9" s="579">
        <f t="shared" si="0"/>
        <v>0</v>
      </c>
      <c r="H9" s="579">
        <f t="shared" si="0"/>
        <v>0</v>
      </c>
      <c r="I9" s="579">
        <f t="shared" si="0"/>
        <v>0</v>
      </c>
      <c r="J9" s="579">
        <f t="shared" si="0"/>
        <v>154.05882352941174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187.07142857142856</v>
      </c>
      <c r="C16" s="595">
        <f>B101</f>
        <v>0</v>
      </c>
      <c r="D16" s="596"/>
      <c r="E16" s="596">
        <f>E101</f>
        <v>0</v>
      </c>
      <c r="F16" s="597"/>
      <c r="G16" s="598"/>
      <c r="H16" s="595">
        <f>I101</f>
        <v>0</v>
      </c>
      <c r="I16" s="596">
        <f>G101+F101</f>
        <v>0</v>
      </c>
      <c r="J16" s="596">
        <f>H101+D101+C101</f>
        <v>220.08403361344537</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187.07142857142856</v>
      </c>
      <c r="C19" s="578">
        <f>SUM(C16:C18)</f>
        <v>0</v>
      </c>
      <c r="D19" s="578">
        <f t="shared" ref="D19:M19" si="1">SUM(D16:D18)</f>
        <v>0</v>
      </c>
      <c r="E19" s="578">
        <f t="shared" si="1"/>
        <v>0</v>
      </c>
      <c r="F19" s="578">
        <f t="shared" si="1"/>
        <v>0</v>
      </c>
      <c r="G19" s="578">
        <f t="shared" si="1"/>
        <v>0</v>
      </c>
      <c r="H19" s="578">
        <f t="shared" si="1"/>
        <v>0</v>
      </c>
      <c r="I19" s="578">
        <f t="shared" si="1"/>
        <v>0</v>
      </c>
      <c r="J19" s="578">
        <f t="shared" si="1"/>
        <v>220.08403361344537</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72004</v>
      </c>
      <c r="C27" s="840">
        <v>3960</v>
      </c>
      <c r="D27" s="657" t="s">
        <v>914</v>
      </c>
      <c r="E27" s="656" t="s">
        <v>915</v>
      </c>
      <c r="F27" s="656" t="s">
        <v>916</v>
      </c>
      <c r="G27" s="656" t="s">
        <v>917</v>
      </c>
      <c r="H27" s="656" t="s">
        <v>918</v>
      </c>
      <c r="I27" s="656" t="s">
        <v>915</v>
      </c>
      <c r="J27" s="839">
        <v>41068</v>
      </c>
      <c r="K27" s="839">
        <v>41275</v>
      </c>
      <c r="L27" s="656" t="s">
        <v>919</v>
      </c>
      <c r="M27" s="656">
        <v>9.6999999999999993</v>
      </c>
      <c r="N27" s="656">
        <v>43.649999999999991</v>
      </c>
      <c r="O27" s="656">
        <v>62.357142857142847</v>
      </c>
      <c r="P27" s="656">
        <v>0</v>
      </c>
      <c r="Q27" s="656">
        <v>124.71428571428569</v>
      </c>
      <c r="R27" s="656">
        <v>0</v>
      </c>
      <c r="S27" s="656">
        <v>0</v>
      </c>
      <c r="T27" s="656">
        <v>0</v>
      </c>
      <c r="U27" s="656">
        <v>0</v>
      </c>
      <c r="V27" s="656">
        <v>0</v>
      </c>
      <c r="W27" s="656"/>
      <c r="X27" s="656">
        <v>10</v>
      </c>
      <c r="Y27" s="656" t="s">
        <v>112</v>
      </c>
      <c r="Z27" s="658" t="s">
        <v>112</v>
      </c>
    </row>
    <row r="28" spans="1:26" s="610" customFormat="1" ht="25.5">
      <c r="A28" s="609"/>
      <c r="B28" s="840">
        <v>72004</v>
      </c>
      <c r="C28" s="840">
        <v>3960</v>
      </c>
      <c r="D28" s="657" t="s">
        <v>920</v>
      </c>
      <c r="E28" s="656" t="s">
        <v>921</v>
      </c>
      <c r="F28" s="656" t="s">
        <v>922</v>
      </c>
      <c r="G28" s="656" t="s">
        <v>917</v>
      </c>
      <c r="H28" s="656" t="s">
        <v>918</v>
      </c>
      <c r="I28" s="656" t="s">
        <v>923</v>
      </c>
      <c r="J28" s="839">
        <v>41078</v>
      </c>
      <c r="K28" s="839">
        <v>41275</v>
      </c>
      <c r="L28" s="656" t="s">
        <v>919</v>
      </c>
      <c r="M28" s="656">
        <v>19.399999999999999</v>
      </c>
      <c r="N28" s="656">
        <v>87.299999999999983</v>
      </c>
      <c r="O28" s="656">
        <v>124.71428571428569</v>
      </c>
      <c r="P28" s="656">
        <v>0</v>
      </c>
      <c r="Q28" s="656">
        <v>249.42857142857139</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29.099999999999998</v>
      </c>
      <c r="N57" s="614">
        <f>SUM(N27:N56)</f>
        <v>130.94999999999999</v>
      </c>
      <c r="O57" s="614">
        <f t="shared" ref="O57:W57" si="2">SUM(O27:O56)</f>
        <v>187.07142857142856</v>
      </c>
      <c r="P57" s="614">
        <f t="shared" si="2"/>
        <v>0</v>
      </c>
      <c r="Q57" s="614">
        <f t="shared" si="2"/>
        <v>374.14285714285711</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29.099999999999998</v>
      </c>
      <c r="N60" s="619">
        <f t="shared" ref="N60:W60" si="4">SUMIF($Z$27:$Z$56,"landbouw",N27:N56)</f>
        <v>130.94999999999999</v>
      </c>
      <c r="O60" s="619">
        <f t="shared" si="4"/>
        <v>187.07142857142856</v>
      </c>
      <c r="P60" s="619">
        <f t="shared" si="4"/>
        <v>0</v>
      </c>
      <c r="Q60" s="619">
        <f t="shared" si="4"/>
        <v>374.14285714285711</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154.05882352941174</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220.08403361344537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31966.626000000004</v>
      </c>
      <c r="D10" s="703">
        <f ca="1">tertiair!C16</f>
        <v>0</v>
      </c>
      <c r="E10" s="703">
        <f ca="1">tertiair!D16</f>
        <v>19706.417939999999</v>
      </c>
      <c r="F10" s="703">
        <f>tertiair!E16</f>
        <v>241.65457452657378</v>
      </c>
      <c r="G10" s="703">
        <f ca="1">tertiair!F16</f>
        <v>6485.9720643573628</v>
      </c>
      <c r="H10" s="703">
        <f>tertiair!G16</f>
        <v>0</v>
      </c>
      <c r="I10" s="703">
        <f>tertiair!H16</f>
        <v>0</v>
      </c>
      <c r="J10" s="703">
        <f>tertiair!I16</f>
        <v>0</v>
      </c>
      <c r="K10" s="703">
        <f>tertiair!J16</f>
        <v>0</v>
      </c>
      <c r="L10" s="703">
        <f>tertiair!K16</f>
        <v>0</v>
      </c>
      <c r="M10" s="703">
        <f ca="1">tertiair!L16</f>
        <v>0</v>
      </c>
      <c r="N10" s="703">
        <f>tertiair!M16</f>
        <v>0</v>
      </c>
      <c r="O10" s="703">
        <f ca="1">tertiair!N16</f>
        <v>2693.3865156152146</v>
      </c>
      <c r="P10" s="703">
        <f>tertiair!O16</f>
        <v>0</v>
      </c>
      <c r="Q10" s="704">
        <f>tertiair!P16</f>
        <v>0</v>
      </c>
      <c r="R10" s="706">
        <f ca="1">SUM(C10:Q10)</f>
        <v>61094.057094499156</v>
      </c>
      <c r="S10" s="68"/>
    </row>
    <row r="11" spans="1:19" s="458" customFormat="1">
      <c r="A11" s="859" t="s">
        <v>225</v>
      </c>
      <c r="B11" s="864"/>
      <c r="C11" s="703">
        <f>huishoudens!B8</f>
        <v>29115.468041663607</v>
      </c>
      <c r="D11" s="703">
        <f>huishoudens!C8</f>
        <v>0</v>
      </c>
      <c r="E11" s="703">
        <f>huishoudens!D8</f>
        <v>40864.152977999998</v>
      </c>
      <c r="F11" s="703">
        <f>huishoudens!E8</f>
        <v>3880.22289449139</v>
      </c>
      <c r="G11" s="703">
        <f>huishoudens!F8</f>
        <v>41682.739665997658</v>
      </c>
      <c r="H11" s="703">
        <f>huishoudens!G8</f>
        <v>0</v>
      </c>
      <c r="I11" s="703">
        <f>huishoudens!H8</f>
        <v>0</v>
      </c>
      <c r="J11" s="703">
        <f>huishoudens!I8</f>
        <v>0</v>
      </c>
      <c r="K11" s="703">
        <f>huishoudens!J8</f>
        <v>0</v>
      </c>
      <c r="L11" s="703">
        <f>huishoudens!K8</f>
        <v>0</v>
      </c>
      <c r="M11" s="703">
        <f>huishoudens!L8</f>
        <v>0</v>
      </c>
      <c r="N11" s="703">
        <f>huishoudens!M8</f>
        <v>0</v>
      </c>
      <c r="O11" s="703">
        <f>huishoudens!N8</f>
        <v>13231.247928819626</v>
      </c>
      <c r="P11" s="703">
        <f>huishoudens!O8</f>
        <v>103.17999999999999</v>
      </c>
      <c r="Q11" s="704">
        <f>huishoudens!P8</f>
        <v>305.06666666666666</v>
      </c>
      <c r="R11" s="706">
        <f>SUM(C11:Q11)</f>
        <v>129182.07817563893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36997.619999999995</v>
      </c>
      <c r="D13" s="703">
        <f>industrie!C18</f>
        <v>0</v>
      </c>
      <c r="E13" s="703">
        <f>industrie!D18</f>
        <v>119192.190436</v>
      </c>
      <c r="F13" s="703">
        <f>industrie!E18</f>
        <v>357.33161015567714</v>
      </c>
      <c r="G13" s="703">
        <f>industrie!F18</f>
        <v>5684.1273499895215</v>
      </c>
      <c r="H13" s="703">
        <f>industrie!G18</f>
        <v>0</v>
      </c>
      <c r="I13" s="703">
        <f>industrie!H18</f>
        <v>0</v>
      </c>
      <c r="J13" s="703">
        <f>industrie!I18</f>
        <v>0</v>
      </c>
      <c r="K13" s="703">
        <f>industrie!J18</f>
        <v>163.66116620722363</v>
      </c>
      <c r="L13" s="703">
        <f>industrie!K18</f>
        <v>0</v>
      </c>
      <c r="M13" s="703">
        <f>industrie!L18</f>
        <v>0</v>
      </c>
      <c r="N13" s="703">
        <f>industrie!M18</f>
        <v>0</v>
      </c>
      <c r="O13" s="703">
        <f>industrie!N18</f>
        <v>593.46057336553804</v>
      </c>
      <c r="P13" s="703">
        <f>industrie!O18</f>
        <v>0</v>
      </c>
      <c r="Q13" s="704">
        <f>industrie!P18</f>
        <v>0</v>
      </c>
      <c r="R13" s="706">
        <f>SUM(C13:Q13)</f>
        <v>162988.39113571795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98079.71404166361</v>
      </c>
      <c r="D15" s="708">
        <f t="shared" ref="D15:Q15" ca="1" si="0">SUM(D9:D14)</f>
        <v>0</v>
      </c>
      <c r="E15" s="708">
        <f t="shared" ca="1" si="0"/>
        <v>179762.76135400002</v>
      </c>
      <c r="F15" s="708">
        <f t="shared" si="0"/>
        <v>4479.2090791736409</v>
      </c>
      <c r="G15" s="708">
        <f t="shared" ca="1" si="0"/>
        <v>53852.839080344536</v>
      </c>
      <c r="H15" s="708">
        <f t="shared" si="0"/>
        <v>0</v>
      </c>
      <c r="I15" s="708">
        <f t="shared" si="0"/>
        <v>0</v>
      </c>
      <c r="J15" s="708">
        <f t="shared" si="0"/>
        <v>0</v>
      </c>
      <c r="K15" s="708">
        <f t="shared" si="0"/>
        <v>163.66116620722363</v>
      </c>
      <c r="L15" s="708">
        <f t="shared" si="0"/>
        <v>0</v>
      </c>
      <c r="M15" s="708">
        <f t="shared" ca="1" si="0"/>
        <v>0</v>
      </c>
      <c r="N15" s="708">
        <f t="shared" si="0"/>
        <v>0</v>
      </c>
      <c r="O15" s="708">
        <f t="shared" ca="1" si="0"/>
        <v>16518.09501780038</v>
      </c>
      <c r="P15" s="708">
        <f t="shared" si="0"/>
        <v>103.17999999999999</v>
      </c>
      <c r="Q15" s="709">
        <f t="shared" si="0"/>
        <v>305.06666666666666</v>
      </c>
      <c r="R15" s="710">
        <f ca="1">SUM(R9:R14)</f>
        <v>353264.52640585601</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2277.7576005553233</v>
      </c>
      <c r="I18" s="703">
        <f>transport!H54</f>
        <v>0</v>
      </c>
      <c r="J18" s="703">
        <f>transport!I54</f>
        <v>0</v>
      </c>
      <c r="K18" s="703">
        <f>transport!J54</f>
        <v>0</v>
      </c>
      <c r="L18" s="703">
        <f>transport!K54</f>
        <v>0</v>
      </c>
      <c r="M18" s="703">
        <f>transport!L54</f>
        <v>0</v>
      </c>
      <c r="N18" s="703">
        <f>transport!M54</f>
        <v>100.02009363657561</v>
      </c>
      <c r="O18" s="703">
        <f>transport!N54</f>
        <v>0</v>
      </c>
      <c r="P18" s="703">
        <f>transport!O54</f>
        <v>0</v>
      </c>
      <c r="Q18" s="704">
        <f>transport!P54</f>
        <v>0</v>
      </c>
      <c r="R18" s="706">
        <f>SUM(C18:Q18)</f>
        <v>2377.7776941918987</v>
      </c>
      <c r="S18" s="68"/>
    </row>
    <row r="19" spans="1:19" s="458" customFormat="1" ht="15" thickBot="1">
      <c r="A19" s="859" t="s">
        <v>307</v>
      </c>
      <c r="B19" s="864"/>
      <c r="C19" s="712">
        <f>transport!B14</f>
        <v>2.3588308151581057</v>
      </c>
      <c r="D19" s="712">
        <f>transport!C14</f>
        <v>0</v>
      </c>
      <c r="E19" s="712">
        <f>transport!D14</f>
        <v>6.5053213531074885</v>
      </c>
      <c r="F19" s="712">
        <f>transport!E14</f>
        <v>377.36105388153152</v>
      </c>
      <c r="G19" s="712">
        <f>transport!F14</f>
        <v>0</v>
      </c>
      <c r="H19" s="712">
        <f>transport!G14</f>
        <v>76411.207554416993</v>
      </c>
      <c r="I19" s="712">
        <f>transport!H14</f>
        <v>14457.500111226918</v>
      </c>
      <c r="J19" s="712">
        <f>transport!I14</f>
        <v>0</v>
      </c>
      <c r="K19" s="712">
        <f>transport!J14</f>
        <v>0</v>
      </c>
      <c r="L19" s="712">
        <f>transport!K14</f>
        <v>0</v>
      </c>
      <c r="M19" s="712">
        <f>transport!L14</f>
        <v>0</v>
      </c>
      <c r="N19" s="712">
        <f>transport!M14</f>
        <v>4063.9440017237102</v>
      </c>
      <c r="O19" s="712">
        <f>transport!N14</f>
        <v>0</v>
      </c>
      <c r="P19" s="712">
        <f>transport!O14</f>
        <v>0</v>
      </c>
      <c r="Q19" s="713">
        <f>transport!P14</f>
        <v>0</v>
      </c>
      <c r="R19" s="714">
        <f>SUM(C19:Q19)</f>
        <v>95318.876873417423</v>
      </c>
      <c r="S19" s="68"/>
    </row>
    <row r="20" spans="1:19" s="458" customFormat="1" ht="15.75" thickBot="1">
      <c r="A20" s="715" t="s">
        <v>230</v>
      </c>
      <c r="B20" s="867"/>
      <c r="C20" s="862">
        <f>SUM(C17:C19)</f>
        <v>2.3588308151581057</v>
      </c>
      <c r="D20" s="716">
        <f t="shared" ref="D20:R20" si="1">SUM(D17:D19)</f>
        <v>0</v>
      </c>
      <c r="E20" s="716">
        <f t="shared" si="1"/>
        <v>6.5053213531074885</v>
      </c>
      <c r="F20" s="716">
        <f t="shared" si="1"/>
        <v>377.36105388153152</v>
      </c>
      <c r="G20" s="716">
        <f t="shared" si="1"/>
        <v>0</v>
      </c>
      <c r="H20" s="716">
        <f t="shared" si="1"/>
        <v>78688.96515497232</v>
      </c>
      <c r="I20" s="716">
        <f t="shared" si="1"/>
        <v>14457.500111226918</v>
      </c>
      <c r="J20" s="716">
        <f t="shared" si="1"/>
        <v>0</v>
      </c>
      <c r="K20" s="716">
        <f t="shared" si="1"/>
        <v>0</v>
      </c>
      <c r="L20" s="716">
        <f t="shared" si="1"/>
        <v>0</v>
      </c>
      <c r="M20" s="716">
        <f t="shared" si="1"/>
        <v>0</v>
      </c>
      <c r="N20" s="716">
        <f t="shared" si="1"/>
        <v>4163.9640953602857</v>
      </c>
      <c r="O20" s="716">
        <f t="shared" si="1"/>
        <v>0</v>
      </c>
      <c r="P20" s="716">
        <f t="shared" si="1"/>
        <v>0</v>
      </c>
      <c r="Q20" s="717">
        <f t="shared" si="1"/>
        <v>0</v>
      </c>
      <c r="R20" s="718">
        <f t="shared" si="1"/>
        <v>97696.654567609323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5736.4970000000003</v>
      </c>
      <c r="D22" s="712">
        <f>+landbouw!C8</f>
        <v>187.07142857142856</v>
      </c>
      <c r="E22" s="712">
        <f>+landbouw!D8</f>
        <v>5014.1223880000007</v>
      </c>
      <c r="F22" s="712">
        <f>+landbouw!E8</f>
        <v>54.041645319071286</v>
      </c>
      <c r="G22" s="712">
        <f>+landbouw!F8</f>
        <v>18720.093487158465</v>
      </c>
      <c r="H22" s="712">
        <f>+landbouw!G8</f>
        <v>0</v>
      </c>
      <c r="I22" s="712">
        <f>+landbouw!H8</f>
        <v>0</v>
      </c>
      <c r="J22" s="712">
        <f>+landbouw!I8</f>
        <v>0</v>
      </c>
      <c r="K22" s="712">
        <f>+landbouw!J8</f>
        <v>709.63258121604815</v>
      </c>
      <c r="L22" s="712">
        <f>+landbouw!K8</f>
        <v>0</v>
      </c>
      <c r="M22" s="712">
        <f>+landbouw!L8</f>
        <v>0</v>
      </c>
      <c r="N22" s="712">
        <f>+landbouw!M8</f>
        <v>0</v>
      </c>
      <c r="O22" s="712">
        <f>+landbouw!N8</f>
        <v>0</v>
      </c>
      <c r="P22" s="712">
        <f>+landbouw!O8</f>
        <v>0</v>
      </c>
      <c r="Q22" s="713">
        <f>+landbouw!P8</f>
        <v>0</v>
      </c>
      <c r="R22" s="714">
        <f>SUM(C22:Q22)</f>
        <v>30421.458530265012</v>
      </c>
      <c r="S22" s="68"/>
    </row>
    <row r="23" spans="1:19" s="458" customFormat="1" ht="17.25" thickTop="1" thickBot="1">
      <c r="A23" s="719" t="s">
        <v>116</v>
      </c>
      <c r="B23" s="853"/>
      <c r="C23" s="720">
        <f ca="1">C20+C15+C22</f>
        <v>103818.56987247877</v>
      </c>
      <c r="D23" s="720">
        <f t="shared" ref="D23:Q23" ca="1" si="2">D20+D15+D22</f>
        <v>187.07142857142856</v>
      </c>
      <c r="E23" s="720">
        <f t="shared" ca="1" si="2"/>
        <v>184783.38906335313</v>
      </c>
      <c r="F23" s="720">
        <f t="shared" si="2"/>
        <v>4910.6117783742438</v>
      </c>
      <c r="G23" s="720">
        <f t="shared" ca="1" si="2"/>
        <v>72572.932567502998</v>
      </c>
      <c r="H23" s="720">
        <f t="shared" si="2"/>
        <v>78688.96515497232</v>
      </c>
      <c r="I23" s="720">
        <f t="shared" si="2"/>
        <v>14457.500111226918</v>
      </c>
      <c r="J23" s="720">
        <f t="shared" si="2"/>
        <v>0</v>
      </c>
      <c r="K23" s="720">
        <f t="shared" si="2"/>
        <v>873.29374742327172</v>
      </c>
      <c r="L23" s="720">
        <f t="shared" si="2"/>
        <v>0</v>
      </c>
      <c r="M23" s="720">
        <f t="shared" ca="1" si="2"/>
        <v>0</v>
      </c>
      <c r="N23" s="720">
        <f t="shared" si="2"/>
        <v>4163.9640953602857</v>
      </c>
      <c r="O23" s="720">
        <f t="shared" ca="1" si="2"/>
        <v>16518.09501780038</v>
      </c>
      <c r="P23" s="720">
        <f t="shared" si="2"/>
        <v>103.17999999999999</v>
      </c>
      <c r="Q23" s="721">
        <f t="shared" si="2"/>
        <v>305.06666666666666</v>
      </c>
      <c r="R23" s="722">
        <f ca="1">R20+R15+R22</f>
        <v>481382.63950373034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6495.5758501105965</v>
      </c>
      <c r="D36" s="703">
        <f ca="1">tertiair!C20</f>
        <v>0</v>
      </c>
      <c r="E36" s="703">
        <f ca="1">tertiair!D20</f>
        <v>3980.6964238800001</v>
      </c>
      <c r="F36" s="703">
        <f>tertiair!E20</f>
        <v>54.855588417532253</v>
      </c>
      <c r="G36" s="703">
        <f ca="1">tertiair!F20</f>
        <v>1731.754541183416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12262.882403591546</v>
      </c>
    </row>
    <row r="37" spans="1:18">
      <c r="A37" s="874" t="s">
        <v>225</v>
      </c>
      <c r="B37" s="881"/>
      <c r="C37" s="703">
        <f ca="1">huishoudens!B12</f>
        <v>5916.2243483593475</v>
      </c>
      <c r="D37" s="703">
        <f ca="1">huishoudens!C12</f>
        <v>0</v>
      </c>
      <c r="E37" s="703">
        <f>huishoudens!D12</f>
        <v>8254.5589015559999</v>
      </c>
      <c r="F37" s="703">
        <f>huishoudens!E12</f>
        <v>880.81059704954555</v>
      </c>
      <c r="G37" s="703">
        <f>huishoudens!F12</f>
        <v>11129.291490821375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26180.885337786269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7517.8671337903706</v>
      </c>
      <c r="D39" s="703">
        <f ca="1">industrie!C22</f>
        <v>0</v>
      </c>
      <c r="E39" s="703">
        <f>industrie!D22</f>
        <v>24076.822468072001</v>
      </c>
      <c r="F39" s="703">
        <f>industrie!E22</f>
        <v>81.114275505338711</v>
      </c>
      <c r="G39" s="703">
        <f>industrie!F22</f>
        <v>1517.6620024472022</v>
      </c>
      <c r="H39" s="703">
        <f>industrie!G22</f>
        <v>0</v>
      </c>
      <c r="I39" s="703">
        <f>industrie!H22</f>
        <v>0</v>
      </c>
      <c r="J39" s="703">
        <f>industrie!I22</f>
        <v>0</v>
      </c>
      <c r="K39" s="703">
        <f>industrie!J22</f>
        <v>57.93605283735716</v>
      </c>
      <c r="L39" s="703">
        <f>industrie!K22</f>
        <v>0</v>
      </c>
      <c r="M39" s="703">
        <f>industrie!L22</f>
        <v>0</v>
      </c>
      <c r="N39" s="703">
        <f>industrie!M22</f>
        <v>0</v>
      </c>
      <c r="O39" s="703">
        <f>industrie!N22</f>
        <v>0</v>
      </c>
      <c r="P39" s="703">
        <f>industrie!O22</f>
        <v>0</v>
      </c>
      <c r="Q39" s="813">
        <f>industrie!P22</f>
        <v>0</v>
      </c>
      <c r="R39" s="907">
        <f ca="1">SUM(C39:Q39)</f>
        <v>33251.401932652268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19929.667332260316</v>
      </c>
      <c r="D41" s="748">
        <f t="shared" ref="D41:R41" ca="1" si="4">SUM(D35:D40)</f>
        <v>0</v>
      </c>
      <c r="E41" s="748">
        <f t="shared" ca="1" si="4"/>
        <v>36312.077793507997</v>
      </c>
      <c r="F41" s="748">
        <f t="shared" si="4"/>
        <v>1016.7804609724164</v>
      </c>
      <c r="G41" s="748">
        <f t="shared" ca="1" si="4"/>
        <v>14378.708034451993</v>
      </c>
      <c r="H41" s="748">
        <f t="shared" si="4"/>
        <v>0</v>
      </c>
      <c r="I41" s="748">
        <f t="shared" si="4"/>
        <v>0</v>
      </c>
      <c r="J41" s="748">
        <f t="shared" si="4"/>
        <v>0</v>
      </c>
      <c r="K41" s="748">
        <f t="shared" si="4"/>
        <v>57.93605283735716</v>
      </c>
      <c r="L41" s="748">
        <f t="shared" si="4"/>
        <v>0</v>
      </c>
      <c r="M41" s="748">
        <f t="shared" ca="1" si="4"/>
        <v>0</v>
      </c>
      <c r="N41" s="748">
        <f t="shared" si="4"/>
        <v>0</v>
      </c>
      <c r="O41" s="748">
        <f t="shared" ca="1" si="4"/>
        <v>0</v>
      </c>
      <c r="P41" s="748">
        <f t="shared" si="4"/>
        <v>0</v>
      </c>
      <c r="Q41" s="749">
        <f t="shared" si="4"/>
        <v>0</v>
      </c>
      <c r="R41" s="750">
        <f t="shared" ca="1" si="4"/>
        <v>71695.169674030083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608.16127934827136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608.16127934827136</v>
      </c>
    </row>
    <row r="45" spans="1:18" ht="15" thickBot="1">
      <c r="A45" s="877" t="s">
        <v>307</v>
      </c>
      <c r="B45" s="887"/>
      <c r="C45" s="712">
        <f ca="1">transport!B18</f>
        <v>0.4793112816297122</v>
      </c>
      <c r="D45" s="712">
        <f>transport!C18</f>
        <v>0</v>
      </c>
      <c r="E45" s="712">
        <f>transport!D18</f>
        <v>1.3140749133277128</v>
      </c>
      <c r="F45" s="712">
        <f>transport!E18</f>
        <v>85.660959231107654</v>
      </c>
      <c r="G45" s="712">
        <f>transport!F18</f>
        <v>0</v>
      </c>
      <c r="H45" s="712">
        <f>transport!G18</f>
        <v>20401.792417029337</v>
      </c>
      <c r="I45" s="712">
        <f>transport!H18</f>
        <v>3599.9175276955025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24089.164290150904</v>
      </c>
    </row>
    <row r="46" spans="1:18" ht="15.75" thickBot="1">
      <c r="A46" s="875" t="s">
        <v>230</v>
      </c>
      <c r="B46" s="888"/>
      <c r="C46" s="748">
        <f t="shared" ref="C46:R46" ca="1" si="5">SUM(C43:C45)</f>
        <v>0.4793112816297122</v>
      </c>
      <c r="D46" s="748">
        <f t="shared" ca="1" si="5"/>
        <v>0</v>
      </c>
      <c r="E46" s="748">
        <f t="shared" si="5"/>
        <v>1.3140749133277128</v>
      </c>
      <c r="F46" s="748">
        <f t="shared" si="5"/>
        <v>85.660959231107654</v>
      </c>
      <c r="G46" s="748">
        <f t="shared" si="5"/>
        <v>0</v>
      </c>
      <c r="H46" s="748">
        <f t="shared" si="5"/>
        <v>21009.953696377608</v>
      </c>
      <c r="I46" s="748">
        <f t="shared" si="5"/>
        <v>3599.9175276955025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24697.325569499175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1165.6485541336731</v>
      </c>
      <c r="D48" s="703">
        <f ca="1">+landbouw!C12</f>
        <v>0</v>
      </c>
      <c r="E48" s="703">
        <f>+landbouw!D12</f>
        <v>1012.8527223760002</v>
      </c>
      <c r="F48" s="703">
        <f>+landbouw!E12</f>
        <v>12.267453487429183</v>
      </c>
      <c r="G48" s="703">
        <f>+landbouw!F12</f>
        <v>4998.2649610713106</v>
      </c>
      <c r="H48" s="703">
        <f>+landbouw!G12</f>
        <v>0</v>
      </c>
      <c r="I48" s="703">
        <f>+landbouw!H12</f>
        <v>0</v>
      </c>
      <c r="J48" s="703">
        <f>+landbouw!I12</f>
        <v>0</v>
      </c>
      <c r="K48" s="703">
        <f>+landbouw!J12</f>
        <v>251.20993375048104</v>
      </c>
      <c r="L48" s="703">
        <f>+landbouw!K12</f>
        <v>0</v>
      </c>
      <c r="M48" s="703">
        <f>+landbouw!L12</f>
        <v>0</v>
      </c>
      <c r="N48" s="703">
        <f>+landbouw!M12</f>
        <v>0</v>
      </c>
      <c r="O48" s="703">
        <f>+landbouw!N12</f>
        <v>0</v>
      </c>
      <c r="P48" s="703">
        <f>+landbouw!O12</f>
        <v>0</v>
      </c>
      <c r="Q48" s="704">
        <f>+landbouw!P12</f>
        <v>0</v>
      </c>
      <c r="R48" s="746">
        <f ca="1">SUM(C48:Q48)</f>
        <v>7440.2436248188942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21095.795197675619</v>
      </c>
      <c r="D53" s="758">
        <f t="shared" ref="D53:Q53" ca="1" si="6">D41+D46+D48</f>
        <v>0</v>
      </c>
      <c r="E53" s="758">
        <f t="shared" ca="1" si="6"/>
        <v>37326.244590797331</v>
      </c>
      <c r="F53" s="758">
        <f t="shared" si="6"/>
        <v>1114.7088736909534</v>
      </c>
      <c r="G53" s="758">
        <f t="shared" ca="1" si="6"/>
        <v>19376.972995523305</v>
      </c>
      <c r="H53" s="758">
        <f t="shared" si="6"/>
        <v>21009.953696377608</v>
      </c>
      <c r="I53" s="758">
        <f t="shared" si="6"/>
        <v>3599.9175276955025</v>
      </c>
      <c r="J53" s="758">
        <f t="shared" si="6"/>
        <v>0</v>
      </c>
      <c r="K53" s="758">
        <f t="shared" si="6"/>
        <v>309.14598658783819</v>
      </c>
      <c r="L53" s="758">
        <f t="shared" si="6"/>
        <v>0</v>
      </c>
      <c r="M53" s="758">
        <f t="shared" ca="1" si="6"/>
        <v>0</v>
      </c>
      <c r="N53" s="758">
        <f t="shared" si="6"/>
        <v>0</v>
      </c>
      <c r="O53" s="758">
        <f t="shared" ca="1" si="6"/>
        <v>0</v>
      </c>
      <c r="P53" s="758">
        <f>P41+P46+P48</f>
        <v>0</v>
      </c>
      <c r="Q53" s="759">
        <f t="shared" si="6"/>
        <v>0</v>
      </c>
      <c r="R53" s="760">
        <f ca="1">R41+R46+R48</f>
        <v>103832.73886834815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0.20319866882762655</v>
      </c>
      <c r="D55" s="824">
        <f t="shared" ca="1" si="7"/>
        <v>0</v>
      </c>
      <c r="E55" s="824">
        <f t="shared" ca="1" si="7"/>
        <v>0.20199999999999999</v>
      </c>
      <c r="F55" s="824">
        <f t="shared" si="7"/>
        <v>0.22700000000000001</v>
      </c>
      <c r="G55" s="824">
        <f t="shared" ca="1" si="7"/>
        <v>0.26700000000000007</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8231.533005168274</v>
      </c>
      <c r="C66" s="780">
        <f>'lokale energieproductie'!B6</f>
        <v>8231.533005168274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130.94999999999999</v>
      </c>
      <c r="C67" s="779">
        <f>B67*IFERROR(SUM(J67:L67)/SUM(D67:M67),0)</f>
        <v>130.94999999999999</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154.05882352941174</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8362.4830051682748</v>
      </c>
      <c r="C69" s="788">
        <f>SUM(C64:C68)</f>
        <v>8362.4830051682748</v>
      </c>
      <c r="D69" s="789">
        <f t="shared" ref="D69:M69" si="8">SUM(D67:D68)</f>
        <v>0</v>
      </c>
      <c r="E69" s="789">
        <f t="shared" si="8"/>
        <v>0</v>
      </c>
      <c r="F69" s="789">
        <f t="shared" si="8"/>
        <v>0</v>
      </c>
      <c r="G69" s="789">
        <f t="shared" si="8"/>
        <v>0</v>
      </c>
      <c r="H69" s="789">
        <f t="shared" si="8"/>
        <v>0</v>
      </c>
      <c r="I69" s="789">
        <f t="shared" si="8"/>
        <v>0</v>
      </c>
      <c r="J69" s="789">
        <f t="shared" si="8"/>
        <v>0</v>
      </c>
      <c r="K69" s="789">
        <f t="shared" si="8"/>
        <v>154.05882352941174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187.07142857142856</v>
      </c>
      <c r="C78" s="802">
        <f>B78*IFERROR(SUM(I78:L78)/SUM(D78:M78),0)</f>
        <v>187.07142857142856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220.08403361344537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187.07142857142856</v>
      </c>
      <c r="C81" s="788">
        <f>SUM(C78:C80)</f>
        <v>187.07142857142856</v>
      </c>
      <c r="D81" s="788">
        <f t="shared" ref="D81:P81" si="9">SUM(D78:D80)</f>
        <v>0</v>
      </c>
      <c r="E81" s="788">
        <f t="shared" si="9"/>
        <v>0</v>
      </c>
      <c r="F81" s="788">
        <f t="shared" si="9"/>
        <v>0</v>
      </c>
      <c r="G81" s="788">
        <f t="shared" si="9"/>
        <v>0</v>
      </c>
      <c r="H81" s="788">
        <f t="shared" si="9"/>
        <v>0</v>
      </c>
      <c r="I81" s="788">
        <f t="shared" si="9"/>
        <v>0</v>
      </c>
      <c r="J81" s="788">
        <f t="shared" si="9"/>
        <v>0</v>
      </c>
      <c r="K81" s="788">
        <f t="shared" si="9"/>
        <v>220.08403361344537</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29115.468041663607</v>
      </c>
      <c r="C4" s="462">
        <f>huishoudens!C8</f>
        <v>0</v>
      </c>
      <c r="D4" s="462">
        <f>huishoudens!D8</f>
        <v>40864.152977999998</v>
      </c>
      <c r="E4" s="462">
        <f>huishoudens!E8</f>
        <v>3880.22289449139</v>
      </c>
      <c r="F4" s="462">
        <f>huishoudens!F8</f>
        <v>41682.739665997658</v>
      </c>
      <c r="G4" s="462">
        <f>huishoudens!G8</f>
        <v>0</v>
      </c>
      <c r="H4" s="462">
        <f>huishoudens!H8</f>
        <v>0</v>
      </c>
      <c r="I4" s="462">
        <f>huishoudens!I8</f>
        <v>0</v>
      </c>
      <c r="J4" s="462">
        <f>huishoudens!J8</f>
        <v>0</v>
      </c>
      <c r="K4" s="462">
        <f>huishoudens!K8</f>
        <v>0</v>
      </c>
      <c r="L4" s="462">
        <f>huishoudens!L8</f>
        <v>0</v>
      </c>
      <c r="M4" s="462">
        <f>huishoudens!M8</f>
        <v>0</v>
      </c>
      <c r="N4" s="462">
        <f>huishoudens!N8</f>
        <v>13231.247928819626</v>
      </c>
      <c r="O4" s="462">
        <f>huishoudens!O8</f>
        <v>103.17999999999999</v>
      </c>
      <c r="P4" s="463">
        <f>huishoudens!P8</f>
        <v>305.06666666666666</v>
      </c>
      <c r="Q4" s="464">
        <f>SUM(B4:P4)</f>
        <v>129182.07817563893</v>
      </c>
    </row>
    <row r="5" spans="1:17">
      <c r="A5" s="461" t="s">
        <v>156</v>
      </c>
      <c r="B5" s="462">
        <f ca="1">tertiair!B16</f>
        <v>30835.781000000003</v>
      </c>
      <c r="C5" s="462">
        <f ca="1">tertiair!C16</f>
        <v>0</v>
      </c>
      <c r="D5" s="462">
        <f ca="1">tertiair!D16</f>
        <v>19706.417939999999</v>
      </c>
      <c r="E5" s="462">
        <f>tertiair!E16</f>
        <v>241.65457452657378</v>
      </c>
      <c r="F5" s="462">
        <f ca="1">tertiair!F16</f>
        <v>6485.9720643573628</v>
      </c>
      <c r="G5" s="462">
        <f>tertiair!G16</f>
        <v>0</v>
      </c>
      <c r="H5" s="462">
        <f>tertiair!H16</f>
        <v>0</v>
      </c>
      <c r="I5" s="462">
        <f>tertiair!I16</f>
        <v>0</v>
      </c>
      <c r="J5" s="462">
        <f>tertiair!J16</f>
        <v>0</v>
      </c>
      <c r="K5" s="462">
        <f>tertiair!K16</f>
        <v>0</v>
      </c>
      <c r="L5" s="462">
        <f ca="1">tertiair!L16</f>
        <v>0</v>
      </c>
      <c r="M5" s="462">
        <f>tertiair!M16</f>
        <v>0</v>
      </c>
      <c r="N5" s="462">
        <f ca="1">tertiair!N16</f>
        <v>2693.3865156152146</v>
      </c>
      <c r="O5" s="462">
        <f>tertiair!O16</f>
        <v>0</v>
      </c>
      <c r="P5" s="463">
        <f>tertiair!P16</f>
        <v>0</v>
      </c>
      <c r="Q5" s="461">
        <f t="shared" ref="Q5:Q13" ca="1" si="0">SUM(B5:P5)</f>
        <v>59963.212094499155</v>
      </c>
    </row>
    <row r="6" spans="1:17">
      <c r="A6" s="461" t="s">
        <v>194</v>
      </c>
      <c r="B6" s="462">
        <f>'openbare verlichting'!B8</f>
        <v>1130.845</v>
      </c>
      <c r="C6" s="462"/>
      <c r="D6" s="462"/>
      <c r="E6" s="462"/>
      <c r="F6" s="462"/>
      <c r="G6" s="462"/>
      <c r="H6" s="462"/>
      <c r="I6" s="462"/>
      <c r="J6" s="462"/>
      <c r="K6" s="462"/>
      <c r="L6" s="462"/>
      <c r="M6" s="462"/>
      <c r="N6" s="462"/>
      <c r="O6" s="462"/>
      <c r="P6" s="463"/>
      <c r="Q6" s="461">
        <f t="shared" si="0"/>
        <v>1130.845</v>
      </c>
    </row>
    <row r="7" spans="1:17">
      <c r="A7" s="461" t="s">
        <v>112</v>
      </c>
      <c r="B7" s="462">
        <f>landbouw!B8</f>
        <v>5736.4970000000003</v>
      </c>
      <c r="C7" s="462">
        <f>landbouw!C8</f>
        <v>187.07142857142856</v>
      </c>
      <c r="D7" s="462">
        <f>landbouw!D8</f>
        <v>5014.1223880000007</v>
      </c>
      <c r="E7" s="462">
        <f>landbouw!E8</f>
        <v>54.041645319071286</v>
      </c>
      <c r="F7" s="462">
        <f>landbouw!F8</f>
        <v>18720.093487158465</v>
      </c>
      <c r="G7" s="462">
        <f>landbouw!G8</f>
        <v>0</v>
      </c>
      <c r="H7" s="462">
        <f>landbouw!H8</f>
        <v>0</v>
      </c>
      <c r="I7" s="462">
        <f>landbouw!I8</f>
        <v>0</v>
      </c>
      <c r="J7" s="462">
        <f>landbouw!J8</f>
        <v>709.63258121604815</v>
      </c>
      <c r="K7" s="462">
        <f>landbouw!K8</f>
        <v>0</v>
      </c>
      <c r="L7" s="462">
        <f>landbouw!L8</f>
        <v>0</v>
      </c>
      <c r="M7" s="462">
        <f>landbouw!M8</f>
        <v>0</v>
      </c>
      <c r="N7" s="462">
        <f>landbouw!N8</f>
        <v>0</v>
      </c>
      <c r="O7" s="462">
        <f>landbouw!O8</f>
        <v>0</v>
      </c>
      <c r="P7" s="463">
        <f>landbouw!P8</f>
        <v>0</v>
      </c>
      <c r="Q7" s="461">
        <f t="shared" si="0"/>
        <v>30421.458530265012</v>
      </c>
    </row>
    <row r="8" spans="1:17">
      <c r="A8" s="461" t="s">
        <v>685</v>
      </c>
      <c r="B8" s="462">
        <f>industrie!B18</f>
        <v>36997.619999999995</v>
      </c>
      <c r="C8" s="462">
        <f>industrie!C18</f>
        <v>0</v>
      </c>
      <c r="D8" s="462">
        <f>industrie!D18</f>
        <v>119192.190436</v>
      </c>
      <c r="E8" s="462">
        <f>industrie!E18</f>
        <v>357.33161015567714</v>
      </c>
      <c r="F8" s="462">
        <f>industrie!F18</f>
        <v>5684.1273499895215</v>
      </c>
      <c r="G8" s="462">
        <f>industrie!G18</f>
        <v>0</v>
      </c>
      <c r="H8" s="462">
        <f>industrie!H18</f>
        <v>0</v>
      </c>
      <c r="I8" s="462">
        <f>industrie!I18</f>
        <v>0</v>
      </c>
      <c r="J8" s="462">
        <f>industrie!J18</f>
        <v>163.66116620722363</v>
      </c>
      <c r="K8" s="462">
        <f>industrie!K18</f>
        <v>0</v>
      </c>
      <c r="L8" s="462">
        <f>industrie!L18</f>
        <v>0</v>
      </c>
      <c r="M8" s="462">
        <f>industrie!M18</f>
        <v>0</v>
      </c>
      <c r="N8" s="462">
        <f>industrie!N18</f>
        <v>593.46057336553804</v>
      </c>
      <c r="O8" s="462">
        <f>industrie!O18</f>
        <v>0</v>
      </c>
      <c r="P8" s="463">
        <f>industrie!P18</f>
        <v>0</v>
      </c>
      <c r="Q8" s="461">
        <f t="shared" si="0"/>
        <v>162988.39113571795</v>
      </c>
    </row>
    <row r="9" spans="1:17" s="467" customFormat="1">
      <c r="A9" s="465" t="s">
        <v>579</v>
      </c>
      <c r="B9" s="466">
        <f>transport!B14</f>
        <v>2.3588308151581057</v>
      </c>
      <c r="C9" s="466"/>
      <c r="D9" s="466">
        <f>transport!D14</f>
        <v>6.5053213531074885</v>
      </c>
      <c r="E9" s="466">
        <f>transport!E14</f>
        <v>377.36105388153152</v>
      </c>
      <c r="F9" s="466"/>
      <c r="G9" s="466">
        <f>transport!G14</f>
        <v>76411.207554416993</v>
      </c>
      <c r="H9" s="466">
        <f>transport!H14</f>
        <v>14457.500111226918</v>
      </c>
      <c r="I9" s="466"/>
      <c r="J9" s="466"/>
      <c r="K9" s="466"/>
      <c r="L9" s="466"/>
      <c r="M9" s="466">
        <f>transport!M14</f>
        <v>4063.9440017237102</v>
      </c>
      <c r="N9" s="466"/>
      <c r="O9" s="466"/>
      <c r="P9" s="466"/>
      <c r="Q9" s="465">
        <f>SUM(B9:P9)</f>
        <v>95318.876873417423</v>
      </c>
    </row>
    <row r="10" spans="1:17">
      <c r="A10" s="461" t="s">
        <v>569</v>
      </c>
      <c r="B10" s="462">
        <f>transport!B54</f>
        <v>0</v>
      </c>
      <c r="C10" s="462"/>
      <c r="D10" s="462">
        <f>transport!D54</f>
        <v>0</v>
      </c>
      <c r="E10" s="462"/>
      <c r="F10" s="462"/>
      <c r="G10" s="462">
        <f>transport!G54</f>
        <v>2277.7576005553233</v>
      </c>
      <c r="H10" s="462"/>
      <c r="I10" s="462"/>
      <c r="J10" s="462"/>
      <c r="K10" s="462"/>
      <c r="L10" s="462"/>
      <c r="M10" s="462">
        <f>transport!M54</f>
        <v>100.02009363657561</v>
      </c>
      <c r="N10" s="462"/>
      <c r="O10" s="462"/>
      <c r="P10" s="463"/>
      <c r="Q10" s="461">
        <f t="shared" si="0"/>
        <v>2377.7776941918987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103818.56987247877</v>
      </c>
      <c r="C14" s="472">
        <f t="shared" ref="C14:Q14" ca="1" si="1">SUM(C4:C13)</f>
        <v>187.07142857142856</v>
      </c>
      <c r="D14" s="472">
        <f t="shared" ca="1" si="1"/>
        <v>184783.38906335313</v>
      </c>
      <c r="E14" s="472">
        <f t="shared" si="1"/>
        <v>4910.6117783742438</v>
      </c>
      <c r="F14" s="472">
        <f t="shared" ca="1" si="1"/>
        <v>72572.932567502998</v>
      </c>
      <c r="G14" s="472">
        <f t="shared" si="1"/>
        <v>78688.96515497232</v>
      </c>
      <c r="H14" s="472">
        <f t="shared" si="1"/>
        <v>14457.500111226918</v>
      </c>
      <c r="I14" s="472">
        <f t="shared" si="1"/>
        <v>0</v>
      </c>
      <c r="J14" s="472">
        <f t="shared" si="1"/>
        <v>873.29374742327172</v>
      </c>
      <c r="K14" s="472">
        <f t="shared" si="1"/>
        <v>0</v>
      </c>
      <c r="L14" s="472">
        <f t="shared" ca="1" si="1"/>
        <v>0</v>
      </c>
      <c r="M14" s="472">
        <f t="shared" si="1"/>
        <v>4163.9640953602857</v>
      </c>
      <c r="N14" s="472">
        <f t="shared" ca="1" si="1"/>
        <v>16518.09501780038</v>
      </c>
      <c r="O14" s="472">
        <f t="shared" si="1"/>
        <v>103.17999999999999</v>
      </c>
      <c r="P14" s="473">
        <f t="shared" si="1"/>
        <v>305.06666666666666</v>
      </c>
      <c r="Q14" s="473">
        <f t="shared" ca="1" si="1"/>
        <v>481382.63950373034</v>
      </c>
    </row>
    <row r="16" spans="1:17">
      <c r="A16" s="475" t="s">
        <v>574</v>
      </c>
      <c r="B16" s="829">
        <f ca="1">huishoudens!B10</f>
        <v>0.20319866882762652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5916.2243483593475</v>
      </c>
      <c r="C21" s="462">
        <f t="shared" ref="C21:C28" ca="1" si="3">C4*$C$16</f>
        <v>0</v>
      </c>
      <c r="D21" s="462">
        <f t="shared" ref="D21:D30" si="4">D4*$D$16</f>
        <v>8254.5589015559999</v>
      </c>
      <c r="E21" s="462">
        <f t="shared" ref="E21:E30" si="5">E4*$E$16</f>
        <v>880.81059704954555</v>
      </c>
      <c r="F21" s="462">
        <f t="shared" ref="F21:F28" si="6">F4*$F$16</f>
        <v>11129.291490821375</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26180.885337786269</v>
      </c>
    </row>
    <row r="22" spans="1:17">
      <c r="A22" s="461" t="s">
        <v>156</v>
      </c>
      <c r="B22" s="462">
        <f t="shared" ca="1" si="2"/>
        <v>6265.7896514602189</v>
      </c>
      <c r="C22" s="462">
        <f t="shared" ca="1" si="3"/>
        <v>0</v>
      </c>
      <c r="D22" s="462">
        <f t="shared" ca="1" si="4"/>
        <v>3980.6964238800001</v>
      </c>
      <c r="E22" s="462">
        <f t="shared" si="5"/>
        <v>54.855588417532253</v>
      </c>
      <c r="F22" s="462">
        <f t="shared" ca="1" si="6"/>
        <v>1731.754541183416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12033.096204941168</v>
      </c>
    </row>
    <row r="23" spans="1:17">
      <c r="A23" s="461" t="s">
        <v>194</v>
      </c>
      <c r="B23" s="462">
        <f t="shared" ca="1" si="2"/>
        <v>229.78619865037732</v>
      </c>
      <c r="C23" s="462"/>
      <c r="D23" s="462"/>
      <c r="E23" s="462"/>
      <c r="F23" s="462"/>
      <c r="G23" s="462"/>
      <c r="H23" s="462"/>
      <c r="I23" s="462"/>
      <c r="J23" s="462"/>
      <c r="K23" s="462"/>
      <c r="L23" s="462"/>
      <c r="M23" s="462"/>
      <c r="N23" s="462"/>
      <c r="O23" s="462"/>
      <c r="P23" s="463"/>
      <c r="Q23" s="461">
        <f t="shared" ca="1" si="17"/>
        <v>229.78619865037732</v>
      </c>
    </row>
    <row r="24" spans="1:17">
      <c r="A24" s="461" t="s">
        <v>112</v>
      </c>
      <c r="B24" s="462">
        <f t="shared" ca="1" si="2"/>
        <v>1165.6485541336731</v>
      </c>
      <c r="C24" s="462">
        <f t="shared" ca="1" si="3"/>
        <v>0</v>
      </c>
      <c r="D24" s="462">
        <f t="shared" si="4"/>
        <v>1012.8527223760002</v>
      </c>
      <c r="E24" s="462">
        <f t="shared" si="5"/>
        <v>12.267453487429183</v>
      </c>
      <c r="F24" s="462">
        <f t="shared" si="6"/>
        <v>4998.2649610713106</v>
      </c>
      <c r="G24" s="462">
        <f t="shared" si="7"/>
        <v>0</v>
      </c>
      <c r="H24" s="462">
        <f t="shared" si="8"/>
        <v>0</v>
      </c>
      <c r="I24" s="462">
        <f t="shared" si="9"/>
        <v>0</v>
      </c>
      <c r="J24" s="462">
        <f t="shared" si="10"/>
        <v>251.20993375048104</v>
      </c>
      <c r="K24" s="462">
        <f t="shared" si="11"/>
        <v>0</v>
      </c>
      <c r="L24" s="462">
        <f t="shared" si="12"/>
        <v>0</v>
      </c>
      <c r="M24" s="462">
        <f t="shared" si="13"/>
        <v>0</v>
      </c>
      <c r="N24" s="462">
        <f t="shared" si="14"/>
        <v>0</v>
      </c>
      <c r="O24" s="462">
        <f t="shared" si="15"/>
        <v>0</v>
      </c>
      <c r="P24" s="463">
        <f t="shared" si="16"/>
        <v>0</v>
      </c>
      <c r="Q24" s="461">
        <f t="shared" ca="1" si="17"/>
        <v>7440.2436248188942</v>
      </c>
    </row>
    <row r="25" spans="1:17">
      <c r="A25" s="461" t="s">
        <v>685</v>
      </c>
      <c r="B25" s="462">
        <f t="shared" ca="1" si="2"/>
        <v>7517.8671337903706</v>
      </c>
      <c r="C25" s="462">
        <f t="shared" ca="1" si="3"/>
        <v>0</v>
      </c>
      <c r="D25" s="462">
        <f t="shared" si="4"/>
        <v>24076.822468072001</v>
      </c>
      <c r="E25" s="462">
        <f t="shared" si="5"/>
        <v>81.114275505338711</v>
      </c>
      <c r="F25" s="462">
        <f t="shared" si="6"/>
        <v>1517.6620024472022</v>
      </c>
      <c r="G25" s="462">
        <f t="shared" si="7"/>
        <v>0</v>
      </c>
      <c r="H25" s="462">
        <f t="shared" si="8"/>
        <v>0</v>
      </c>
      <c r="I25" s="462">
        <f t="shared" si="9"/>
        <v>0</v>
      </c>
      <c r="J25" s="462">
        <f t="shared" si="10"/>
        <v>57.93605283735716</v>
      </c>
      <c r="K25" s="462">
        <f t="shared" si="11"/>
        <v>0</v>
      </c>
      <c r="L25" s="462">
        <f t="shared" si="12"/>
        <v>0</v>
      </c>
      <c r="M25" s="462">
        <f t="shared" si="13"/>
        <v>0</v>
      </c>
      <c r="N25" s="462">
        <f t="shared" si="14"/>
        <v>0</v>
      </c>
      <c r="O25" s="462">
        <f t="shared" si="15"/>
        <v>0</v>
      </c>
      <c r="P25" s="463">
        <f t="shared" si="16"/>
        <v>0</v>
      </c>
      <c r="Q25" s="461">
        <f t="shared" ca="1" si="17"/>
        <v>33251.401932652268</v>
      </c>
    </row>
    <row r="26" spans="1:17" s="467" customFormat="1">
      <c r="A26" s="465" t="s">
        <v>579</v>
      </c>
      <c r="B26" s="823">
        <f t="shared" ca="1" si="2"/>
        <v>0.4793112816297122</v>
      </c>
      <c r="C26" s="466"/>
      <c r="D26" s="466">
        <f t="shared" si="4"/>
        <v>1.3140749133277128</v>
      </c>
      <c r="E26" s="466">
        <f t="shared" si="5"/>
        <v>85.660959231107654</v>
      </c>
      <c r="F26" s="466"/>
      <c r="G26" s="466">
        <f t="shared" si="7"/>
        <v>20401.792417029337</v>
      </c>
      <c r="H26" s="466">
        <f t="shared" si="8"/>
        <v>3599.9175276955025</v>
      </c>
      <c r="I26" s="466"/>
      <c r="J26" s="466"/>
      <c r="K26" s="466"/>
      <c r="L26" s="466"/>
      <c r="M26" s="466">
        <f t="shared" si="13"/>
        <v>0</v>
      </c>
      <c r="N26" s="466"/>
      <c r="O26" s="466"/>
      <c r="P26" s="477"/>
      <c r="Q26" s="465">
        <f t="shared" ca="1" si="17"/>
        <v>24089.164290150904</v>
      </c>
    </row>
    <row r="27" spans="1:17">
      <c r="A27" s="461" t="s">
        <v>569</v>
      </c>
      <c r="B27" s="462">
        <f t="shared" ca="1" si="2"/>
        <v>0</v>
      </c>
      <c r="C27" s="462"/>
      <c r="D27" s="466">
        <f t="shared" si="4"/>
        <v>0</v>
      </c>
      <c r="E27" s="462"/>
      <c r="F27" s="462"/>
      <c r="G27" s="462">
        <f t="shared" si="7"/>
        <v>608.16127934827136</v>
      </c>
      <c r="H27" s="462"/>
      <c r="I27" s="462"/>
      <c r="J27" s="462"/>
      <c r="K27" s="462"/>
      <c r="L27" s="462"/>
      <c r="M27" s="462">
        <f t="shared" si="13"/>
        <v>0</v>
      </c>
      <c r="N27" s="462"/>
      <c r="O27" s="462"/>
      <c r="P27" s="463"/>
      <c r="Q27" s="461">
        <f t="shared" ca="1" si="17"/>
        <v>608.16127934827136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21095.795197675619</v>
      </c>
      <c r="C31" s="472">
        <f t="shared" ca="1" si="18"/>
        <v>0</v>
      </c>
      <c r="D31" s="472">
        <f t="shared" ca="1" si="18"/>
        <v>37326.244590797331</v>
      </c>
      <c r="E31" s="472">
        <f t="shared" si="18"/>
        <v>1114.7088736909534</v>
      </c>
      <c r="F31" s="472">
        <f t="shared" ca="1" si="18"/>
        <v>19376.972995523305</v>
      </c>
      <c r="G31" s="472">
        <f t="shared" si="18"/>
        <v>21009.953696377608</v>
      </c>
      <c r="H31" s="472">
        <f t="shared" si="18"/>
        <v>3599.9175276955025</v>
      </c>
      <c r="I31" s="472">
        <f t="shared" si="18"/>
        <v>0</v>
      </c>
      <c r="J31" s="472">
        <f t="shared" si="18"/>
        <v>309.14598658783819</v>
      </c>
      <c r="K31" s="472">
        <f t="shared" si="18"/>
        <v>0</v>
      </c>
      <c r="L31" s="472">
        <f t="shared" ca="1" si="18"/>
        <v>0</v>
      </c>
      <c r="M31" s="472">
        <f t="shared" si="18"/>
        <v>0</v>
      </c>
      <c r="N31" s="472">
        <f t="shared" ca="1" si="18"/>
        <v>0</v>
      </c>
      <c r="O31" s="472">
        <f t="shared" si="18"/>
        <v>0</v>
      </c>
      <c r="P31" s="473">
        <f t="shared" si="18"/>
        <v>0</v>
      </c>
      <c r="Q31" s="473">
        <f t="shared" ca="1" si="18"/>
        <v>103832.73886834817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0.20319866882762652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0.20319866882762652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0.20319866882762652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2018-12-05T16:08:36Z</dcterms:modified>
</cp:coreProperties>
</file>