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H69"/>
  <c r="O20"/>
  <c r="M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Q13" i="14"/>
  <c r="L28" i="48"/>
  <c r="K22" i="14"/>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E13" i="14" l="1"/>
  <c r="D18" i="22"/>
  <c r="E45" i="14" s="1"/>
  <c r="E46" s="1"/>
  <c r="I7" i="18"/>
  <c r="I9"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M7" i="18"/>
  <c r="M9" s="1"/>
  <c r="J67" i="14"/>
  <c r="J69" s="1"/>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Q5" i="48"/>
  <c r="O13" i="14"/>
  <c r="O15" s="1"/>
  <c r="N22" i="16"/>
  <c r="O39" i="14" s="1"/>
  <c r="O41" s="1"/>
  <c r="Q4" i="48"/>
  <c r="N22"/>
  <c r="R11" i="14"/>
  <c r="J21" i="48"/>
  <c r="J14"/>
  <c r="R10" i="14"/>
  <c r="C16" i="22" l="1"/>
  <c r="C10" i="13"/>
  <c r="C16" i="48" s="1"/>
  <c r="C25" s="1"/>
  <c r="C10" i="17"/>
  <c r="C12" s="1"/>
  <c r="D48" i="14" s="1"/>
  <c r="C56" i="22"/>
  <c r="C58" s="1"/>
  <c r="D44" i="14" s="1"/>
  <c r="D46" s="1"/>
  <c r="C17" i="49"/>
  <c r="C17" i="19"/>
  <c r="C19" s="1"/>
  <c r="D35" i="14" s="1"/>
  <c r="C20" i="16"/>
  <c r="C22" s="1"/>
  <c r="D39" i="14" s="1"/>
  <c r="C29" i="20"/>
  <c r="C18" i="15"/>
  <c r="C20" s="1"/>
  <c r="D36" i="14" s="1"/>
  <c r="F22" i="16"/>
  <c r="G39" i="14" s="1"/>
  <c r="G41" s="1"/>
  <c r="G53" s="1"/>
  <c r="G55" s="1"/>
  <c r="O69" s="1"/>
  <c r="B9" i="6" s="1"/>
  <c r="B12" s="1"/>
  <c r="F8" i="48"/>
  <c r="F14" s="1"/>
  <c r="Q9"/>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24" i="48"/>
  <c r="C28"/>
  <c r="R13" i="14"/>
  <c r="R15" s="1"/>
  <c r="C21" i="48" l="1"/>
  <c r="C31" s="1"/>
  <c r="Q8"/>
  <c r="Q14" s="1"/>
  <c r="C22"/>
  <c r="F25"/>
  <c r="F31" s="1"/>
  <c r="F55" i="14"/>
  <c r="C12" i="13"/>
  <c r="D37" i="14" s="1"/>
  <c r="D41"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O23"/>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<sst xmlns="http://schemas.openxmlformats.org/spreadsheetml/2006/main" count="2286" uniqueCount="949">
  <si>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</si>
  <si>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</si>
  <si>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</si>
  <si>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</si>
  <si>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</si>
  <si>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</si>
  <si>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</si>
  <si>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</si>
  <si>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</si>
  <si>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</si>
  <si>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</si>
  <si>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</si>
  <si>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</si>
  <si>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</si>
  <si>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</si>
  <si>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</si>
  <si>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</si>
  <si>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</si>
  <si>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</si>
  <si>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</si>
  <si>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</si>
  <si>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</si>
  <si>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</si>
  <si>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</si>
  <si>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</si>
  <si>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</si>
  <si>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</si>
  <si>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</si>
  <si>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</si>
  <si>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</si>
  <si>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</si>
  <si>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</si>
  <si>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</si>
  <si>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</si>
  <si>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</si>
  <si>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</si>
  <si>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</si>
  <si>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</si>
  <si>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</si>
  <si>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</si>
  <si>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</si>
  <si>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</si>
  <si>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</si>
  <si>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</si>
  <si>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</si>
  <si>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</si>
  <si>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</si>
  <si>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</si>
  <si>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</si>
  <si>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</si>
  <si>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</si>
  <si>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</si>
  <si>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</si>
  <si>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</si>
  <si>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</si>
  <si>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</si>
  <si>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</si>
  <si>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</si>
  <si>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</si>
  <si>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</si>
  <si>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</si>
  <si>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</si>
  <si>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</si>
  <si>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</si>
  <si>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</si>
  <si>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</si>
  <si>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</si>
  <si>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</si>
  <si>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</si>
  <si>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</si>
  <si>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</si>
  <si>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</si>
  <si>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</si>
  <si>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</si>
  <si>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</si>
  <si>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</si>
  <si>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</si>
  <si>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</si>
  <si>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</si>
  <si>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</si>
  <si>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</si>
  <si>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</si>
  <si>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</si>
  <si>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</si>
  <si>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</si>
  <si>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</si>
  <si>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</si>
  <si>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</si>
  <si>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</si>
  <si>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</si>
  <si>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</si>
  <si>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</si>
  <si>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</si>
  <si>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</si>
  <si>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</si>
  <si>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</si>
  <si>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</si>
  <si>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</si>
  <si>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</si>
  <si>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</si>
  <si>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</si>
  <si>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</si>
  <si>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</si>
  <si>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</si>
  <si>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</si>
  <si>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</si>
  <si>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</si>
  <si>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</si>
  <si>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</si>
  <si>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</si>
  <si>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</si>
  <si>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</si>
  <si>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</si>
  <si>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</si>
  <si>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</si>
  <si>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</si>
  <si>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</si>
  <si>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</si>
  <si>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</si>
  <si>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</si>
  <si>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</si>
  <si>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</si>
  <si>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</si>
  <si>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</si>
  <si>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</si>
  <si>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</si>
  <si>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</si>
  <si>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</si>
  <si>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</si>
  <si>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</si>
  <si>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</si>
  <si>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</si>
  <si>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</si>
  <si>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</si>
  <si>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</si>
  <si>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</si>
  <si>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</si>
  <si>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</si>
  <si>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</si>
  <si>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</si>
  <si>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</si>
  <si>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</si>
  <si>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</si>
  <si>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</si>
  <si>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</si>
  <si>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</si>
  <si>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</si>
  <si>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</si>
  <si>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</si>
  <si>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</si>
  <si>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</si>
  <si>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</si>
  <si>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</si>
  <si>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</si>
  <si>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</si>
  <si>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</si>
  <si>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</si>
  <si>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</si>
  <si>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</si>
  <si>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</si>
  <si>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</si>
  <si>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</si>
  <si>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</si>
  <si>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</si>
  <si>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</si>
  <si>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</si>
  <si>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</si>
  <si>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</si>
  <si>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</si>
  <si>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</si>
  <si>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</si>
  <si>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</si>
  <si>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</si>
  <si>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</si>
  <si>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</si>
  <si>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</si>
  <si>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</si>
  <si>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</si>
  <si>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</si>
  <si>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</si>
  <si>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</si>
  <si>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</si>
  <si>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</si>
  <si>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</si>
  <si>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</si>
  <si>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</si>
  <si>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</si>
  <si>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</si>
  <si>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</si>
  <si>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</si>
  <si>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</si>
  <si>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</si>
  <si>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</si>
  <si>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</si>
  <si>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</si>
  <si>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</si>
  <si>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</si>
  <si>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</si>
  <si>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</si>
  <si>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</si>
  <si>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</si>
  <si>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</si>
  <si>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</si>
  <si>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</si>
  <si>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</si>
  <si>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</si>
  <si>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</si>
  <si>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</si>
  <si>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</si>
  <si>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</si>
  <si>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</si>
  <si>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</si>
  <si>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</si>
  <si>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</si>
  <si>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</si>
  <si>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</si>
  <si>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</si>
  <si>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</si>
  <si>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</si>
  <si>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</si>
  <si>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</si>
  <si>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</si>
  <si>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</si>
  <si>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</si>
  <si>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</si>
  <si>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</si>
  <si>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</si>
  <si>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</si>
  <si>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</si>
  <si>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</si>
  <si>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</si>
  <si>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</si>
  <si>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</si>
  <si>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</si>
  <si>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</si>
  <si>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</si>
  <si>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</si>
  <si>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</si>
  <si>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</si>
  <si>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</si>
  <si>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</si>
  <si>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</si>
  <si>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</si>
  <si>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</si>
  <si>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</si>
  <si>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</si>
  <si>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</si>
  <si>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</si>
  <si>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</si>
  <si>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</si>
  <si>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</si>
  <si>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</si>
  <si>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</si>
  <si>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</si>
  <si>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</si>
  <si>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</si>
  <si>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</si>
  <si>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</si>
  <si>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</si>
  <si>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</si>
  <si>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</si>
  <si>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</si>
  <si>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</si>
  <si>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</si>
  <si>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</si>
  <si>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</si>
  <si>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</si>
  <si>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</si>
  <si>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</si>
  <si>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</si>
  <si>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</si>
  <si>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</si>
  <si>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</si>
  <si>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</si>
  <si>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</si>
  <si>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</si>
  <si>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</si>
  <si>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</si>
  <si>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</si>
  <si>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</si>
  <si>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</si>
  <si>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</si>
  <si>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</si>
  <si>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</si>
  <si>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</si>
  <si>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</si>
  <si>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</si>
  <si>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</si>
  <si>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</si>
  <si>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</si>
  <si>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</si>
  <si>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</si>
  <si>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</si>
  <si>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</si>
  <si>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</si>
  <si>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</si>
  <si>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</si>
  <si>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</si>
  <si>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</si>
  <si>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</si>
  <si>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</si>
  <si>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</si>
  <si>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</si>
  <si>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</si>
  <si>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</si>
  <si>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</si>
  <si>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</si>
  <si>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</si>
  <si>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</si>
  <si>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</si>
  <si>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</si>
  <si>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</si>
  <si>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</si>
  <si>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</si>
  <si>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</si>
  <si>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</si>
  <si>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</si>
  <si>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</si>
  <si>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</si>
  <si>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</si>
  <si>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</si>
  <si>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</si>
  <si>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</si>
  <si>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</si>
  <si>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</si>
  <si>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</si>
  <si>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</si>
  <si>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</si>
  <si>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</si>
  <si>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</si>
  <si>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</si>
  <si>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</si>
  <si>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</si>
  <si>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</si>
  <si>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</si>
  <si>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</si>
  <si>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</si>
  <si>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</si>
  <si>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</si>
  <si>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</si>
  <si>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</si>
  <si>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</si>
  <si>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</si>
  <si>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</si>
  <si>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</si>
  <si>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</si>
  <si>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</si>
  <si>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</si>
  <si>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</si>
  <si>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</si>
  <si>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</si>
  <si>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</si>
  <si>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</si>
  <si>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</si>
  <si>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</si>
  <si>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</si>
  <si>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</si>
  <si>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</si>
  <si>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</si>
  <si>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</si>
  <si>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</si>
  <si>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</si>
  <si>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</si>
  <si>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</si>
  <si>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</si>
  <si>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</si>
  <si>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</si>
  <si>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</si>
  <si>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</si>
  <si>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</si>
  <si>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</si>
  <si>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</si>
  <si>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</si>
  <si>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</si>
  <si>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</si>
  <si>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</si>
  <si>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</si>
  <si>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</si>
  <si>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</si>
  <si>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</si>
  <si>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</si>
  <si>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</si>
  <si>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</si>
  <si>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</si>
  <si>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</si>
  <si>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</si>
  <si>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</si>
  <si>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</si>
  <si>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</si>
  <si>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</si>
  <si>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</si>
  <si>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</si>
  <si>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</si>
  <si>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</si>
  <si>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</si>
  <si>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</si>
  <si>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</si>
  <si>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</si>
  <si>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</si>
  <si>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</si>
  <si>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</si>
  <si>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</si>
  <si>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</si>
  <si>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</si>
  <si>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</si>
  <si>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</si>
  <si>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</si>
  <si>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</si>
  <si>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</si>
  <si>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</si>
  <si>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</si>
  <si>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</si>
  <si>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</si>
  <si>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</si>
  <si>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</si>
  <si>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</si>
  <si>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</si>
  <si>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</si>
  <si>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</si>
  <si>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</si>
  <si>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</si>
  <si>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</si>
  <si>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</si>
  <si>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</si>
  <si>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</si>
  <si>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</si>
  <si>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</si>
  <si>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</si>
  <si>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</si>
  <si>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</si>
  <si>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</si>
  <si>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</si>
  <si>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</si>
  <si>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</si>
  <si>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</si>
  <si>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</si>
  <si>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</si>
  <si>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</si>
  <si>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</si>
  <si>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</si>
  <si>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</si>
  <si>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</si>
  <si>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</si>
  <si>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</si>
  <si>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</si>
  <si>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</si>
  <si>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</si>
  <si>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</si>
  <si>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</si>
  <si>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</si>
  <si>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</si>
  <si>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</si>
  <si>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</si>
  <si>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</si>
  <si>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</si>
  <si>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</si>
  <si>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</si>
  <si>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</si>
  <si>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</si>
  <si>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</si>
  <si>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</si>
  <si>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</si>
  <si>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</si>
  <si>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</si>
  <si>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</si>
  <si>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</si>
  <si>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</si>
  <si>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</si>
  <si>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</si>
  <si>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</si>
  <si>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</si>
  <si>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</si>
  <si>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</si>
  <si>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</si>
  <si>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</si>
  <si>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</si>
  <si>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</si>
  <si>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</si>
  <si>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</si>
  <si>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</si>
  <si>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</si>
  <si>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</si>
  <si>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</si>
  <si>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</si>
  <si>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</si>
  <si>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</si>
  <si>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</si>
  <si>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</si>
  <si>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</si>
  <si>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</si>
  <si>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</si>
  <si>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</si>
  <si>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</si>
  <si>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</si>
  <si>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</si>
  <si>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</si>
  <si>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</si>
  <si>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</si>
  <si>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</si>
  <si>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</si>
  <si>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</si>
  <si>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</si>
  <si>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</si>
  <si>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</si>
  <si>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</si>
  <si>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</si>
  <si>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</si>
  <si>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</si>
  <si>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</si>
  <si>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</si>
  <si>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</si>
  <si>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</si>
  <si>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</si>
  <si>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</si>
  <si>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</si>
  <si>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</si>
  <si>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</si>
  <si>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</si>
  <si>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</si>
  <si>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</si>
  <si>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</si>
  <si>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</si>
  <si>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</si>
  <si>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</si>
  <si>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</si>
  <si>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</si>
  <si>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</si>
  <si>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</si>
  <si>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</si>
  <si>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</si>
  <si>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</si>
  <si>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</si>
  <si>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</si>
  <si>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</si>
  <si>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</si>
  <si>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</si>
  <si>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</si>
  <si>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</si>
  <si>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</si>
  <si>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</si>
  <si>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</si>
  <si>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</si>
  <si>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</si>
  <si>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</si>
  <si>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</si>
  <si>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</si>
  <si>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</si>
  <si>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</si>
  <si>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</si>
  <si>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</si>
  <si>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</si>
  <si>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</si>
  <si>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</si>
  <si>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</si>
  <si>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</si>
  <si>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</si>
  <si>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</si>
  <si>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</si>
  <si>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</si>
  <si>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</si>
  <si>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</si>
  <si>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</si>
  <si>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</si>
  <si>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</si>
  <si>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</si>
  <si>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</si>
  <si>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</si>
  <si>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</si>
  <si>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</si>
  <si>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</si>
  <si>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</si>
  <si>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</si>
  <si>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</si>
  <si>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</si>
  <si>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</si>
  <si>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</si>
  <si>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</si>
  <si>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</si>
  <si>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</si>
  <si>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</si>
  <si>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</si>
  <si>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</si>
  <si>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</si>
  <si>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</si>
  <si>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</si>
  <si>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</si>
  <si>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</si>
  <si>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</si>
  <si>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</si>
  <si>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</si>
  <si>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</si>
  <si>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</si>
  <si>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</si>
  <si>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</si>
  <si>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</si>
  <si>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</si>
  <si>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</si>
  <si>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</si>
  <si>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</si>
  <si>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</si>
  <si>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</si>
  <si>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</si>
  <si>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</si>
  <si>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</si>
  <si>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</si>
  <si>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</si>
  <si>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</si>
  <si>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</si>
  <si>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</si>
  <si>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</si>
  <si>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</si>
  <si>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</si>
  <si>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</si>
  <si>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</si>
  <si>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</si>
  <si>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</si>
  <si>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</si>
  <si>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</si>
  <si>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</si>
  <si>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</si>
  <si>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</si>
  <si>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</si>
  <si>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</si>
  <si>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</si>
  <si>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</si>
  <si>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</si>
  <si>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</si>
  <si>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</si>
  <si>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</si>
  <si>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</si>
  <si>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</si>
  <si>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</si>
  <si>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</si>
  <si>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</si>
  <si>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</si>
  <si>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</si>
  <si>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</si>
  <si>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</si>
  <si>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</si>
  <si>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</si>
  <si>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</si>
  <si>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</si>
  <si>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</si>
  <si>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</si>
  <si>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</si>
  <si>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</si>
  <si>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</si>
  <si>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</si>
  <si>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</si>
  <si>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</si>
  <si>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</si>
  <si>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</si>
  <si>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</si>
  <si>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</si>
  <si>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</si>
  <si>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</si>
  <si>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</si>
  <si>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</si>
  <si>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</si>
  <si>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</si>
  <si>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</si>
  <si>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</si>
  <si>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</si>
  <si>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</si>
  <si>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</si>
  <si>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</si>
  <si>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</si>
  <si>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</si>
  <si>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</si>
  <si>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</si>
  <si>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</si>
  <si>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</si>
  <si>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</si>
  <si>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</si>
  <si>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</si>
  <si>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</si>
  <si>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</si>
  <si>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</si>
  <si>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</si>
  <si>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</si>
  <si>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</si>
  <si>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</si>
  <si>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</si>
  <si>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</si>
  <si>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</si>
  <si>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</si>
  <si>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</si>
  <si>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</si>
  <si>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</si>
  <si>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</si>
  <si>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</si>
  <si>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</si>
  <si>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</si>
  <si>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</si>
  <si>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</si>
  <si>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</si>
  <si>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</si>
  <si>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</si>
  <si>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</si>
  <si>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</si>
  <si>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</si>
  <si>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</si>
  <si>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</si>
  <si>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</si>
  <si>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</si>
  <si>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</si>
  <si>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</si>
  <si>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</si>
  <si>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</si>
  <si>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</si>
  <si>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</si>
  <si>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</si>
  <si>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</si>
  <si>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</si>
  <si>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</si>
  <si>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</si>
  <si>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</si>
  <si>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</si>
  <si>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</si>
  <si>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</si>
  <si>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</si>
  <si>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</si>
  <si>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</si>
  <si>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</si>
  <si>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</si>
  <si>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</si>
  <si>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</si>
  <si>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</si>
  <si>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</si>
  <si>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</si>
  <si>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</si>
  <si>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</si>
  <si>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</si>
  <si>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</si>
  <si>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</si>
  <si>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</si>
  <si>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</si>
  <si>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</si>
  <si>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</si>
  <si>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</si>
  <si>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</si>
  <si>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</si>
  <si>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</si>
  <si>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</si>
  <si>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</si>
  <si>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</si>
  <si>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</si>
  <si>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</si>
  <si>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</si>
  <si>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</si>
  <si>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</si>
  <si>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</si>
  <si>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</si>
  <si>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</si>
  <si>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</si>
  <si>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</si>
  <si>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</si>
  <si>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</si>
  <si>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</si>
  <si>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</si>
  <si>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</si>
  <si>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</si>
  <si>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</si>
  <si>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</si>
  <si>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</si>
  <si>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</si>
  <si>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</si>
  <si>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</si>
  <si>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</si>
  <si>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</si>
  <si>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</si>
  <si>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</si>
  <si>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</si>
  <si>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</si>
  <si>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</si>
  <si>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</si>
  <si>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</si>
  <si>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</si>
  <si>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</si>
  <si>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</si>
  <si>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</si>
  <si>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</si>
  <si>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</si>
  <si>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</si>
  <si>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</si>
  <si>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</si>
  <si>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</si>
  <si>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</si>
  <si>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</si>
  <si>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</si>
  <si>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</si>
  <si>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</si>
  <si>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</si>
  <si>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</si>
  <si>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</si>
  <si>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</si>
  <si>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</si>
  <si>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</si>
  <si>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</si>
  <si>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</si>
  <si>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</si>
  <si>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</si>
  <si>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</si>
  <si>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</si>
  <si>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</si>
  <si>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</si>
  <si>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</si>
  <si>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</si>
  <si>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</si>
  <si>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</si>
  <si>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</si>
  <si>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</si>
  <si>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</si>
  <si>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</si>
  <si>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</si>
  <si>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</si>
  <si>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</si>
  <si>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</si>
  <si>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</si>
  <si>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</si>
  <si>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</si>
  <si>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</si>
  <si>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</si>
  <si>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</si>
  <si>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</si>
  <si>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</si>
  <si>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</si>
  <si>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</si>
  <si>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</si>
  <si>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</si>
  <si>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</si>
  <si>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</si>
  <si>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</si>
  <si>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</si>
  <si>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</si>
  <si>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</si>
  <si>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</si>
  <si>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</si>
  <si>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</si>
  <si>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</si>
  <si>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</si>
  <si>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</si>
  <si>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</si>
  <si>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</si>
  <si>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</si>
  <si>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</si>
  <si>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</si>
  <si>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</si>
  <si>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</si>
  <si>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</si>
  <si>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</si>
  <si>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</si>
  <si>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</si>
  <si>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</si>
  <si>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</si>
  <si>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</si>
  <si>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</si>
  <si>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</si>
  <si>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</si>
  <si>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</si>
  <si>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</si>
  <si>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</si>
  <si>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</si>
  <si>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</si>
  <si>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</si>
  <si>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</si>
  <si>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</si>
  <si>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</si>
  <si>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</si>
  <si>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</si>
  <si>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</si>
  <si>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</si>
  <si>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</si>
  <si>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</si>
  <si>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</si>
  <si>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</si>
  <si>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</si>
  <si>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</si>
  <si>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</si>
  <si>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</si>
  <si>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</si>
  <si>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</si>
  <si>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</si>
  <si>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</si>
  <si>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</si>
  <si>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</si>
  <si>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</si>
  <si>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</si>
  <si>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</si>
  <si>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</si>
  <si>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</si>
  <si>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</si>
  <si>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</si>
  <si>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</si>
  <si>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</si>
  <si>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</si>
  <si>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</si>
  <si>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</si>
  <si>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</si>
  <si>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</si>
  <si>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</si>
  <si>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</si>
  <si>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</si>
  <si>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</si>
  <si>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</si>
  <si>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</si>
  <si>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</si>
  <si>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</si>
  <si>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46003</t>
  </si>
  <si>
    <t>BEVEREN</t>
  </si>
  <si>
    <t>Paarden&amp;pony's 200 - 600 kg</t>
  </si>
  <si>
    <t>Paarden&amp;pony's &lt; 200 kg</t>
  </si>
  <si>
    <t>op basis van VEA (maart 2018) en Inventaris Hernieuwbare Energiebronnen (juni 2018)</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</si>
  <si>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</si>
  <si>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</si>
  <si>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</si>
  <si>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</si>
  <si>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</si>
  <si>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</si>
  <si>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</si>
  <si>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</si>
  <si>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</si>
  <si>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</si>
  <si>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</si>
  <si>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</si>
  <si>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</si>
  <si>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Groeikracht Vrasene NV</t>
  </si>
  <si>
    <t>Laarstraat 1 , 9120 Vrasene</t>
  </si>
  <si>
    <t>WKK-0306 Groeikracht Vrasene</t>
  </si>
  <si>
    <t>Laarstraat 1 , 9120 Beveren-Waas</t>
  </si>
  <si>
    <t>Van der Valk Hotel Beveren nv</t>
  </si>
  <si>
    <t>Gentseweg 280 , 9120 Beveren-Waas</t>
  </si>
  <si>
    <t>WKK-0261 Van Der Valk Hotel Beveren</t>
  </si>
  <si>
    <t>Biogas Boeye BVBA</t>
  </si>
  <si>
    <t>Perstraat 127 , 9120 Beveren-Waas</t>
  </si>
  <si>
    <t>WKK-0208 Biogas Boeye</t>
  </si>
  <si>
    <t>Tomaline BVBA</t>
  </si>
  <si>
    <t>Veldstraat 1A , 9120 Melsele</t>
  </si>
  <si>
    <t>WKK-0200 Tomaline</t>
  </si>
  <si>
    <t>Op de Beeck nv</t>
  </si>
  <si>
    <t>Molenweg Kaai 1936 , 9120 Kallo (Beveren-Waas)</t>
  </si>
  <si>
    <t>WKK-0433 Op De Beeck</t>
  </si>
  <si>
    <t>Van Remoortel nv</t>
  </si>
  <si>
    <t>Aven Ackers 15 b, 9130 Verrebroek</t>
  </si>
  <si>
    <t>BGS-0019 Van Remoortel (GSC rest)</t>
  </si>
  <si>
    <t>biogas - overig</t>
  </si>
  <si>
    <t>niet WKK interne verbrandingsmotor (gas)</t>
  </si>
  <si>
    <t>Verheyenplein 8, 9130 Verrebroek</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</si>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</sst>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46003</v>
      </c>
      <c r="B6" s="397"/>
      <c r="C6" s="398"/>
    </row>
    <row r="7" spans="1:7" s="395" customFormat="1" ht="15.75" customHeight="1">
      <c r="A7" s="399" t="str">
        <f>txtMunicipality</f>
        <v>BEVEREN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46003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19238</v>
      </c>
      <c r="C9" s="338">
        <v>20115</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7179</v>
      </c>
    </row>
    <row r="15" spans="1:6">
      <c r="A15" s="1260" t="s">
        <v>184</v>
      </c>
      <c r="B15" s="335">
        <v>24</v>
      </c>
    </row>
    <row r="16" spans="1:6">
      <c r="A16" s="1260" t="s">
        <v>6</v>
      </c>
      <c r="B16" s="335">
        <v>1637</v>
      </c>
    </row>
    <row r="17" spans="1:6">
      <c r="A17" s="1260" t="s">
        <v>7</v>
      </c>
      <c r="B17" s="335">
        <v>2170</v>
      </c>
    </row>
    <row r="18" spans="1:6">
      <c r="A18" s="1260" t="s">
        <v>8</v>
      </c>
      <c r="B18" s="335">
        <v>3079</v>
      </c>
    </row>
    <row r="19" spans="1:6">
      <c r="A19" s="1260" t="s">
        <v>9</v>
      </c>
      <c r="B19" s="335">
        <v>3070</v>
      </c>
    </row>
    <row r="20" spans="1:6">
      <c r="A20" s="1260" t="s">
        <v>10</v>
      </c>
      <c r="B20" s="335">
        <v>1927</v>
      </c>
    </row>
    <row r="21" spans="1:6">
      <c r="A21" s="1260" t="s">
        <v>11</v>
      </c>
      <c r="B21" s="335">
        <v>22983</v>
      </c>
    </row>
    <row r="22" spans="1:6">
      <c r="A22" s="1260" t="s">
        <v>12</v>
      </c>
      <c r="B22" s="335">
        <v>55071</v>
      </c>
    </row>
    <row r="23" spans="1:6">
      <c r="A23" s="1260" t="s">
        <v>13</v>
      </c>
      <c r="B23" s="335">
        <v>1148</v>
      </c>
    </row>
    <row r="24" spans="1:6">
      <c r="A24" s="1260" t="s">
        <v>14</v>
      </c>
      <c r="B24" s="335">
        <v>55</v>
      </c>
    </row>
    <row r="25" spans="1:6">
      <c r="A25" s="1260" t="s">
        <v>15</v>
      </c>
      <c r="B25" s="335">
        <v>6658</v>
      </c>
    </row>
    <row r="26" spans="1:6">
      <c r="A26" s="1260" t="s">
        <v>16</v>
      </c>
      <c r="B26" s="335">
        <v>133</v>
      </c>
    </row>
    <row r="27" spans="1:6">
      <c r="A27" s="1260" t="s">
        <v>17</v>
      </c>
      <c r="B27" s="335">
        <v>2</v>
      </c>
    </row>
    <row r="28" spans="1:6" s="341" customFormat="1">
      <c r="A28" s="1261" t="s">
        <v>18</v>
      </c>
      <c r="B28" s="1261">
        <v>497174</v>
      </c>
    </row>
    <row r="29" spans="1:6">
      <c r="A29" s="1261" t="s">
        <v>910</v>
      </c>
      <c r="B29" s="1261">
        <v>310</v>
      </c>
      <c r="C29" s="341"/>
      <c r="D29" s="341"/>
      <c r="E29" s="341"/>
      <c r="F29" s="341"/>
    </row>
    <row r="30" spans="1:6">
      <c r="A30" s="1256" t="s">
        <v>911</v>
      </c>
      <c r="B30" s="1256">
        <v>94</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7</v>
      </c>
      <c r="F35" s="335">
        <v>210967.13494994899</v>
      </c>
    </row>
    <row r="36" spans="1:6">
      <c r="A36" s="1260" t="s">
        <v>25</v>
      </c>
      <c r="B36" s="1260" t="s">
        <v>27</v>
      </c>
      <c r="C36" s="335">
        <v>0</v>
      </c>
      <c r="D36" s="335">
        <v>0</v>
      </c>
      <c r="E36" s="335">
        <v>48</v>
      </c>
      <c r="F36" s="335">
        <v>2666191.3431651201</v>
      </c>
    </row>
    <row r="37" spans="1:6">
      <c r="A37" s="1260" t="s">
        <v>25</v>
      </c>
      <c r="B37" s="1260" t="s">
        <v>28</v>
      </c>
      <c r="C37" s="335">
        <v>0</v>
      </c>
      <c r="D37" s="335">
        <v>0</v>
      </c>
      <c r="E37" s="335">
        <v>0</v>
      </c>
      <c r="F37" s="335">
        <v>0</v>
      </c>
    </row>
    <row r="38" spans="1:6">
      <c r="A38" s="1260" t="s">
        <v>25</v>
      </c>
      <c r="B38" s="1260" t="s">
        <v>29</v>
      </c>
      <c r="C38" s="335">
        <v>5</v>
      </c>
      <c r="D38" s="335">
        <v>23540730.413959499</v>
      </c>
      <c r="E38" s="335">
        <v>5</v>
      </c>
      <c r="F38" s="335">
        <v>77591.75045444</v>
      </c>
    </row>
    <row r="39" spans="1:6">
      <c r="A39" s="1260" t="s">
        <v>30</v>
      </c>
      <c r="B39" s="1260" t="s">
        <v>31</v>
      </c>
      <c r="C39" s="335">
        <v>13891</v>
      </c>
      <c r="D39" s="335">
        <v>237123357.236702</v>
      </c>
      <c r="E39" s="335">
        <v>18983</v>
      </c>
      <c r="F39" s="335">
        <v>89873256.320656002</v>
      </c>
    </row>
    <row r="40" spans="1:6">
      <c r="A40" s="1260" t="s">
        <v>30</v>
      </c>
      <c r="B40" s="1260" t="s">
        <v>29</v>
      </c>
      <c r="C40" s="335">
        <v>0</v>
      </c>
      <c r="D40" s="335">
        <v>0</v>
      </c>
      <c r="E40" s="335">
        <v>0</v>
      </c>
      <c r="F40" s="335">
        <v>0</v>
      </c>
    </row>
    <row r="41" spans="1:6">
      <c r="A41" s="1260" t="s">
        <v>32</v>
      </c>
      <c r="B41" s="1260" t="s">
        <v>33</v>
      </c>
      <c r="C41" s="335">
        <v>134</v>
      </c>
      <c r="D41" s="335">
        <v>3584384.2584788501</v>
      </c>
      <c r="E41" s="335">
        <v>342</v>
      </c>
      <c r="F41" s="335">
        <v>6324566.94262762</v>
      </c>
    </row>
    <row r="42" spans="1:6">
      <c r="A42" s="1260" t="s">
        <v>32</v>
      </c>
      <c r="B42" s="1260" t="s">
        <v>34</v>
      </c>
      <c r="C42" s="335">
        <v>0</v>
      </c>
      <c r="D42" s="335">
        <v>0</v>
      </c>
      <c r="E42" s="335">
        <v>6</v>
      </c>
      <c r="F42" s="335">
        <v>16766887.590467799</v>
      </c>
    </row>
    <row r="43" spans="1:6">
      <c r="A43" s="1260" t="s">
        <v>32</v>
      </c>
      <c r="B43" s="1260" t="s">
        <v>35</v>
      </c>
      <c r="C43" s="335">
        <v>0</v>
      </c>
      <c r="D43" s="335">
        <v>0</v>
      </c>
      <c r="E43" s="335">
        <v>0</v>
      </c>
      <c r="F43" s="335">
        <v>0</v>
      </c>
    </row>
    <row r="44" spans="1:6">
      <c r="A44" s="1260" t="s">
        <v>32</v>
      </c>
      <c r="B44" s="1260" t="s">
        <v>36</v>
      </c>
      <c r="C44" s="335">
        <v>0</v>
      </c>
      <c r="D44" s="335">
        <v>0</v>
      </c>
      <c r="E44" s="335">
        <v>31</v>
      </c>
      <c r="F44" s="335">
        <v>749053.53848814697</v>
      </c>
    </row>
    <row r="45" spans="1:6">
      <c r="A45" s="1260" t="s">
        <v>32</v>
      </c>
      <c r="B45" s="1260" t="s">
        <v>37</v>
      </c>
      <c r="C45" s="335">
        <v>3</v>
      </c>
      <c r="D45" s="335">
        <v>62054.7026314127</v>
      </c>
      <c r="E45" s="335">
        <v>3</v>
      </c>
      <c r="F45" s="335">
        <v>52676.364887824697</v>
      </c>
    </row>
    <row r="46" spans="1:6">
      <c r="A46" s="1260" t="s">
        <v>32</v>
      </c>
      <c r="B46" s="1260" t="s">
        <v>38</v>
      </c>
      <c r="C46" s="335">
        <v>0</v>
      </c>
      <c r="D46" s="335">
        <v>0</v>
      </c>
      <c r="E46" s="335">
        <v>0</v>
      </c>
      <c r="F46" s="335">
        <v>0</v>
      </c>
    </row>
    <row r="47" spans="1:6">
      <c r="A47" s="1260" t="s">
        <v>32</v>
      </c>
      <c r="B47" s="1260" t="s">
        <v>39</v>
      </c>
      <c r="C47" s="335">
        <v>4</v>
      </c>
      <c r="D47" s="335">
        <v>178385.98340937999</v>
      </c>
      <c r="E47" s="335">
        <v>12</v>
      </c>
      <c r="F47" s="335">
        <v>222494.19185083901</v>
      </c>
    </row>
    <row r="48" spans="1:6">
      <c r="A48" s="1260" t="s">
        <v>32</v>
      </c>
      <c r="B48" s="1260" t="s">
        <v>29</v>
      </c>
      <c r="C48" s="335">
        <v>56</v>
      </c>
      <c r="D48" s="335">
        <v>27943652.3234015</v>
      </c>
      <c r="E48" s="335">
        <v>69</v>
      </c>
      <c r="F48" s="335">
        <v>68130645.918039799</v>
      </c>
    </row>
    <row r="49" spans="1:6">
      <c r="A49" s="1260" t="s">
        <v>32</v>
      </c>
      <c r="B49" s="1260" t="s">
        <v>40</v>
      </c>
      <c r="C49" s="335">
        <v>6</v>
      </c>
      <c r="D49" s="335">
        <v>90135.097625859096</v>
      </c>
      <c r="E49" s="335">
        <v>13</v>
      </c>
      <c r="F49" s="335">
        <v>147279.656876644</v>
      </c>
    </row>
    <row r="50" spans="1:6">
      <c r="A50" s="1260" t="s">
        <v>32</v>
      </c>
      <c r="B50" s="1260" t="s">
        <v>41</v>
      </c>
      <c r="C50" s="335">
        <v>22</v>
      </c>
      <c r="D50" s="335">
        <v>1233504.97998629</v>
      </c>
      <c r="E50" s="335">
        <v>30</v>
      </c>
      <c r="F50" s="335">
        <v>1347106.64683818</v>
      </c>
    </row>
    <row r="51" spans="1:6">
      <c r="A51" s="1260" t="s">
        <v>42</v>
      </c>
      <c r="B51" s="1260" t="s">
        <v>43</v>
      </c>
      <c r="C51" s="335">
        <v>50</v>
      </c>
      <c r="D51" s="335">
        <v>154810312.21121901</v>
      </c>
      <c r="E51" s="335">
        <v>355</v>
      </c>
      <c r="F51" s="335">
        <v>9346360.2840732504</v>
      </c>
    </row>
    <row r="52" spans="1:6">
      <c r="A52" s="1260" t="s">
        <v>42</v>
      </c>
      <c r="B52" s="1260" t="s">
        <v>29</v>
      </c>
      <c r="C52" s="335">
        <v>9</v>
      </c>
      <c r="D52" s="335">
        <v>146685.60155448</v>
      </c>
      <c r="E52" s="335">
        <v>10</v>
      </c>
      <c r="F52" s="335">
        <v>276050.69942253601</v>
      </c>
    </row>
    <row r="53" spans="1:6">
      <c r="A53" s="1260" t="s">
        <v>44</v>
      </c>
      <c r="B53" s="1260" t="s">
        <v>45</v>
      </c>
      <c r="C53" s="335">
        <v>311</v>
      </c>
      <c r="D53" s="335">
        <v>7134097.1335226595</v>
      </c>
      <c r="E53" s="335">
        <v>575</v>
      </c>
      <c r="F53" s="335">
        <v>3311973.5383373001</v>
      </c>
    </row>
    <row r="54" spans="1:6">
      <c r="A54" s="1260" t="s">
        <v>46</v>
      </c>
      <c r="B54" s="1260" t="s">
        <v>47</v>
      </c>
      <c r="C54" s="335">
        <v>0</v>
      </c>
      <c r="D54" s="335">
        <v>0</v>
      </c>
      <c r="E54" s="335">
        <v>1</v>
      </c>
      <c r="F54" s="335">
        <v>3103766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112</v>
      </c>
      <c r="D57" s="335">
        <v>6019658.2784738699</v>
      </c>
      <c r="E57" s="335">
        <v>194</v>
      </c>
      <c r="F57" s="335">
        <v>7361506.6942773899</v>
      </c>
    </row>
    <row r="58" spans="1:6">
      <c r="A58" s="1260" t="s">
        <v>49</v>
      </c>
      <c r="B58" s="1260" t="s">
        <v>51</v>
      </c>
      <c r="C58" s="335">
        <v>38</v>
      </c>
      <c r="D58" s="335">
        <v>1352035.80045318</v>
      </c>
      <c r="E58" s="335">
        <v>52</v>
      </c>
      <c r="F58" s="335">
        <v>965526.53678412596</v>
      </c>
    </row>
    <row r="59" spans="1:6">
      <c r="A59" s="1260" t="s">
        <v>49</v>
      </c>
      <c r="B59" s="1260" t="s">
        <v>52</v>
      </c>
      <c r="C59" s="335">
        <v>280</v>
      </c>
      <c r="D59" s="335">
        <v>12151877.784588801</v>
      </c>
      <c r="E59" s="335">
        <v>556</v>
      </c>
      <c r="F59" s="335">
        <v>23246423.333588</v>
      </c>
    </row>
    <row r="60" spans="1:6">
      <c r="A60" s="1260" t="s">
        <v>49</v>
      </c>
      <c r="B60" s="1260" t="s">
        <v>53</v>
      </c>
      <c r="C60" s="335">
        <v>114</v>
      </c>
      <c r="D60" s="335">
        <v>5461693.3374202503</v>
      </c>
      <c r="E60" s="335">
        <v>165</v>
      </c>
      <c r="F60" s="335">
        <v>4604735.7402082598</v>
      </c>
    </row>
    <row r="61" spans="1:6">
      <c r="A61" s="1260" t="s">
        <v>49</v>
      </c>
      <c r="B61" s="1260" t="s">
        <v>54</v>
      </c>
      <c r="C61" s="335">
        <v>326</v>
      </c>
      <c r="D61" s="335">
        <v>29420499.9017867</v>
      </c>
      <c r="E61" s="335">
        <v>948</v>
      </c>
      <c r="F61" s="335">
        <v>83561226.283099994</v>
      </c>
    </row>
    <row r="62" spans="1:6">
      <c r="A62" s="1260" t="s">
        <v>49</v>
      </c>
      <c r="B62" s="1260" t="s">
        <v>55</v>
      </c>
      <c r="C62" s="335">
        <v>8</v>
      </c>
      <c r="D62" s="335">
        <v>348666.662646243</v>
      </c>
      <c r="E62" s="335">
        <v>29</v>
      </c>
      <c r="F62" s="335">
        <v>864336.34474867699</v>
      </c>
    </row>
    <row r="63" spans="1:6">
      <c r="A63" s="1260" t="s">
        <v>49</v>
      </c>
      <c r="B63" s="1260" t="s">
        <v>29</v>
      </c>
      <c r="C63" s="335">
        <v>149</v>
      </c>
      <c r="D63" s="335">
        <v>19178755.951273799</v>
      </c>
      <c r="E63" s="335">
        <v>162</v>
      </c>
      <c r="F63" s="335">
        <v>14094119.277299</v>
      </c>
    </row>
    <row r="64" spans="1:6">
      <c r="A64" s="1260" t="s">
        <v>56</v>
      </c>
      <c r="B64" s="1260" t="s">
        <v>57</v>
      </c>
      <c r="C64" s="335">
        <v>0</v>
      </c>
      <c r="D64" s="335">
        <v>0</v>
      </c>
      <c r="E64" s="335">
        <v>0</v>
      </c>
      <c r="F64" s="335">
        <v>0</v>
      </c>
    </row>
    <row r="65" spans="1:6">
      <c r="A65" s="1260" t="s">
        <v>56</v>
      </c>
      <c r="B65" s="1260" t="s">
        <v>29</v>
      </c>
      <c r="C65" s="335">
        <v>5</v>
      </c>
      <c r="D65" s="335">
        <v>115726.016322703</v>
      </c>
      <c r="E65" s="335">
        <v>6</v>
      </c>
      <c r="F65" s="335">
        <v>89129.129241505099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11</v>
      </c>
      <c r="D68" s="335">
        <v>466392.52492995001</v>
      </c>
      <c r="E68" s="335">
        <v>50</v>
      </c>
      <c r="F68" s="335">
        <v>1317893.5518322</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113268719</v>
      </c>
      <c r="E73" s="335">
        <v>181448941.13965991</v>
      </c>
    </row>
    <row r="74" spans="1:6">
      <c r="A74" s="1260" t="s">
        <v>64</v>
      </c>
      <c r="B74" s="1260" t="s">
        <v>772</v>
      </c>
      <c r="C74" s="1271" t="s">
        <v>766</v>
      </c>
      <c r="D74" s="335">
        <v>19582698.905107748</v>
      </c>
      <c r="E74" s="335">
        <v>31502312.612434216</v>
      </c>
    </row>
    <row r="75" spans="1:6">
      <c r="A75" s="1260" t="s">
        <v>65</v>
      </c>
      <c r="B75" s="1260" t="s">
        <v>771</v>
      </c>
      <c r="C75" s="1271" t="s">
        <v>767</v>
      </c>
      <c r="D75" s="335">
        <v>73326331</v>
      </c>
      <c r="E75" s="335">
        <v>127849365.64532027</v>
      </c>
    </row>
    <row r="76" spans="1:6">
      <c r="A76" s="1260" t="s">
        <v>65</v>
      </c>
      <c r="B76" s="1260" t="s">
        <v>772</v>
      </c>
      <c r="C76" s="1271" t="s">
        <v>768</v>
      </c>
      <c r="D76" s="335">
        <v>12510243.905107748</v>
      </c>
      <c r="E76" s="335">
        <v>21783597.186458554</v>
      </c>
    </row>
    <row r="77" spans="1:6">
      <c r="A77" s="1260" t="s">
        <v>66</v>
      </c>
      <c r="B77" s="1260" t="s">
        <v>771</v>
      </c>
      <c r="C77" s="1271" t="s">
        <v>769</v>
      </c>
      <c r="D77" s="335">
        <v>294553076</v>
      </c>
      <c r="E77" s="335">
        <v>329335509.8866815</v>
      </c>
    </row>
    <row r="78" spans="1:6">
      <c r="A78" s="1256" t="s">
        <v>66</v>
      </c>
      <c r="B78" s="1256" t="s">
        <v>772</v>
      </c>
      <c r="C78" s="1256" t="s">
        <v>770</v>
      </c>
      <c r="D78" s="1256">
        <v>81065063</v>
      </c>
      <c r="E78" s="1256">
        <v>93221529.289531812</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1109876.1897845031</v>
      </c>
      <c r="C83" s="335">
        <v>1066007.454748821</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27811.855772411498</v>
      </c>
    </row>
    <row r="91" spans="1:6">
      <c r="A91" s="1260" t="s">
        <v>68</v>
      </c>
      <c r="B91" s="335">
        <v>8960.5007145959644</v>
      </c>
    </row>
    <row r="92" spans="1:6">
      <c r="A92" s="1256" t="s">
        <v>69</v>
      </c>
      <c r="B92" s="338">
        <v>27939.788625375902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9871</v>
      </c>
    </row>
    <row r="98" spans="1:6">
      <c r="A98" s="1260" t="s">
        <v>72</v>
      </c>
      <c r="B98" s="335">
        <v>3</v>
      </c>
    </row>
    <row r="99" spans="1:6">
      <c r="A99" s="1260" t="s">
        <v>73</v>
      </c>
      <c r="B99" s="335">
        <v>133</v>
      </c>
    </row>
    <row r="100" spans="1:6">
      <c r="A100" s="1260" t="s">
        <v>74</v>
      </c>
      <c r="B100" s="335">
        <v>2776</v>
      </c>
    </row>
    <row r="101" spans="1:6">
      <c r="A101" s="1260" t="s">
        <v>75</v>
      </c>
      <c r="B101" s="335">
        <v>316</v>
      </c>
    </row>
    <row r="102" spans="1:6">
      <c r="A102" s="1260" t="s">
        <v>76</v>
      </c>
      <c r="B102" s="335">
        <v>369</v>
      </c>
    </row>
    <row r="103" spans="1:6">
      <c r="A103" s="1260" t="s">
        <v>77</v>
      </c>
      <c r="B103" s="335">
        <v>626</v>
      </c>
    </row>
    <row r="104" spans="1:6">
      <c r="A104" s="1260" t="s">
        <v>78</v>
      </c>
      <c r="B104" s="335">
        <v>3115</v>
      </c>
    </row>
    <row r="105" spans="1:6">
      <c r="A105" s="1256" t="s">
        <v>79</v>
      </c>
      <c r="B105" s="1256">
        <v>19</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24</v>
      </c>
      <c r="C123" s="335">
        <v>79</v>
      </c>
    </row>
    <row r="124" spans="1:6">
      <c r="A124" s="1256" t="s">
        <v>89</v>
      </c>
      <c r="B124" s="335">
        <v>0</v>
      </c>
      <c r="C124" s="335">
        <v>26</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303</v>
      </c>
    </row>
    <row r="130" spans="1:6">
      <c r="A130" s="1260" t="s">
        <v>295</v>
      </c>
      <c r="B130" s="335">
        <v>0</v>
      </c>
    </row>
    <row r="131" spans="1:6">
      <c r="A131" s="1260" t="s">
        <v>296</v>
      </c>
      <c r="B131" s="335">
        <v>0</v>
      </c>
    </row>
    <row r="132" spans="1:6">
      <c r="A132" s="1256" t="s">
        <v>297</v>
      </c>
      <c r="B132" s="338">
        <v>11</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343865.14244919474</v>
      </c>
      <c r="C3" s="44" t="s">
        <v>170</v>
      </c>
      <c r="D3" s="44"/>
      <c r="E3" s="157"/>
      <c r="F3" s="44"/>
      <c r="G3" s="44"/>
      <c r="H3" s="44"/>
      <c r="I3" s="44"/>
      <c r="J3" s="44"/>
      <c r="K3" s="97"/>
    </row>
    <row r="4" spans="1:11">
      <c r="A4" s="365" t="s">
        <v>171</v>
      </c>
      <c r="B4" s="50">
        <f>IF(ISERROR('SEAP template'!B69),0,'SEAP template'!B69)</f>
        <v>131963.74511238336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12569.865882352946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0.17274235553714051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17956.951260504207</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91830.85714285713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0.19554376185958264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3103.7660000000001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3103.7660000000001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0.17274235553714051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536.15184987608848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89873.256320656001</v>
      </c>
      <c r="C5" s="18">
        <f>IF(ISERROR('Eigen informatie GS &amp; warmtenet'!B57),0,'Eigen informatie GS &amp; warmtenet'!B57)</f>
        <v>0</v>
      </c>
      <c r="D5" s="31">
        <f>(SUM(HH_hh_gas_kWh,HH_rest_gas_kWh)/1000)*0.902</f>
        <v>213885.26822750521</v>
      </c>
      <c r="E5" s="18">
        <f>B46*B57</f>
        <v>4623.9194824246742</v>
      </c>
      <c r="F5" s="18">
        <f>B51*B62</f>
        <v>0</v>
      </c>
      <c r="G5" s="19"/>
      <c r="H5" s="18"/>
      <c r="I5" s="18"/>
      <c r="J5" s="18">
        <f>B50*B61+C50*C61</f>
        <v>7068.7722160182584</v>
      </c>
      <c r="K5" s="18"/>
      <c r="L5" s="18"/>
      <c r="M5" s="18"/>
      <c r="N5" s="18">
        <f>B48*B59+C48*C59</f>
        <v>35678.003120385903</v>
      </c>
      <c r="O5" s="18">
        <f>B69*B70*B71</f>
        <v>637.84</v>
      </c>
      <c r="P5" s="18">
        <f>B77*B78*B79/1000-B77*B78*B79/1000/B80</f>
        <v>667.33333333333337</v>
      </c>
    </row>
    <row r="6" spans="1:16">
      <c r="A6" s="17" t="s">
        <v>639</v>
      </c>
      <c r="B6" s="831">
        <f>kWh_PV_kleiner_dan_10kW</f>
        <v>8960.5007145959644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98833.757035251969</v>
      </c>
      <c r="C8" s="22">
        <f>C5</f>
        <v>0</v>
      </c>
      <c r="D8" s="22">
        <f>D5</f>
        <v>213885.26822750521</v>
      </c>
      <c r="E8" s="22">
        <f>E5</f>
        <v>4623.9194824246742</v>
      </c>
      <c r="F8" s="22">
        <f>F5</f>
        <v>0</v>
      </c>
      <c r="G8" s="22"/>
      <c r="H8" s="22"/>
      <c r="I8" s="22"/>
      <c r="J8" s="22">
        <f>J5</f>
        <v>7068.7722160182584</v>
      </c>
      <c r="K8" s="22"/>
      <c r="L8" s="22">
        <f>L5</f>
        <v>0</v>
      </c>
      <c r="M8" s="22">
        <f>M5</f>
        <v>0</v>
      </c>
      <c r="N8" s="22">
        <f>N5</f>
        <v>35678.003120385903</v>
      </c>
      <c r="O8" s="22">
        <f>O5</f>
        <v>637.84</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0.17274235553714051</v>
      </c>
      <c r="C10" s="26">
        <f ca="1">'EF ele_warmte'!B22</f>
        <v>0.19554376185958264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17072.77599685486</v>
      </c>
      <c r="C12" s="24">
        <f ca="1">C10*C8</f>
        <v>0</v>
      </c>
      <c r="D12" s="24">
        <f>D8*D10</f>
        <v>43204.824181956057</v>
      </c>
      <c r="E12" s="24">
        <f>E10*E8</f>
        <v>1049.6297225104011</v>
      </c>
      <c r="F12" s="24">
        <f>F10*F8</f>
        <v>0</v>
      </c>
      <c r="G12" s="24"/>
      <c r="H12" s="24"/>
      <c r="I12" s="24"/>
      <c r="J12" s="24">
        <f>J10*J8</f>
        <v>2502.3453644704632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9871</v>
      </c>
      <c r="C18" s="169" t="s">
        <v>111</v>
      </c>
      <c r="D18" s="231"/>
      <c r="E18" s="16"/>
    </row>
    <row r="19" spans="1:7">
      <c r="A19" s="174" t="s">
        <v>72</v>
      </c>
      <c r="B19" s="38">
        <f>aantalw2001_ander</f>
        <v>3</v>
      </c>
      <c r="C19" s="169" t="s">
        <v>111</v>
      </c>
      <c r="D19" s="232"/>
      <c r="E19" s="16"/>
    </row>
    <row r="20" spans="1:7">
      <c r="A20" s="174" t="s">
        <v>73</v>
      </c>
      <c r="B20" s="38">
        <f>aantalw2001_propaan</f>
        <v>133</v>
      </c>
      <c r="C20" s="170">
        <f>IF(ISERROR(B20/SUM($B$20,$B$21,$B$22)*100),0,B20/SUM($B$20,$B$21,$B$22)*100)</f>
        <v>4.1240310077519382</v>
      </c>
      <c r="D20" s="232"/>
      <c r="E20" s="16"/>
    </row>
    <row r="21" spans="1:7">
      <c r="A21" s="174" t="s">
        <v>74</v>
      </c>
      <c r="B21" s="38">
        <f>aantalw2001_elektriciteit</f>
        <v>2776</v>
      </c>
      <c r="C21" s="170">
        <f>IF(ISERROR(B21/SUM($B$20,$B$21,$B$22)*100),0,B21/SUM($B$20,$B$21,$B$22)*100)</f>
        <v>86.077519379844958</v>
      </c>
      <c r="D21" s="232"/>
      <c r="E21" s="16"/>
    </row>
    <row r="22" spans="1:7">
      <c r="A22" s="174" t="s">
        <v>75</v>
      </c>
      <c r="B22" s="38">
        <f>aantalw2001_hout</f>
        <v>316</v>
      </c>
      <c r="C22" s="170">
        <f>IF(ISERROR(B22/SUM($B$20,$B$21,$B$22)*100),0,B22/SUM($B$20,$B$21,$B$22)*100)</f>
        <v>9.7984496124031004</v>
      </c>
      <c r="D22" s="232"/>
      <c r="E22" s="16"/>
    </row>
    <row r="23" spans="1:7">
      <c r="A23" s="174" t="s">
        <v>76</v>
      </c>
      <c r="B23" s="38">
        <f>aantalw2001_niet_gespec</f>
        <v>369</v>
      </c>
      <c r="C23" s="169" t="s">
        <v>111</v>
      </c>
      <c r="D23" s="231"/>
      <c r="E23" s="16"/>
    </row>
    <row r="24" spans="1:7">
      <c r="A24" s="174" t="s">
        <v>77</v>
      </c>
      <c r="B24" s="38">
        <f>aantalw2001_steenkool</f>
        <v>626</v>
      </c>
      <c r="C24" s="169" t="s">
        <v>111</v>
      </c>
      <c r="D24" s="232"/>
      <c r="E24" s="16"/>
    </row>
    <row r="25" spans="1:7">
      <c r="A25" s="174" t="s">
        <v>78</v>
      </c>
      <c r="B25" s="38">
        <f>aantalw2001_stookolie</f>
        <v>3115</v>
      </c>
      <c r="C25" s="169" t="s">
        <v>111</v>
      </c>
      <c r="D25" s="231"/>
      <c r="E25" s="53"/>
    </row>
    <row r="26" spans="1:7">
      <c r="A26" s="174" t="s">
        <v>79</v>
      </c>
      <c r="B26" s="38">
        <f>aantalw2001_WP</f>
        <v>19</v>
      </c>
      <c r="C26" s="169" t="s">
        <v>111</v>
      </c>
      <c r="D26" s="231"/>
      <c r="E26" s="16"/>
    </row>
    <row r="27" spans="1:7" s="16" customFormat="1">
      <c r="A27" s="174"/>
      <c r="B27" s="30"/>
      <c r="C27" s="37"/>
      <c r="D27" s="231"/>
    </row>
    <row r="28" spans="1:7" s="16" customFormat="1">
      <c r="A28" s="233" t="s">
        <v>665</v>
      </c>
      <c r="B28" s="38">
        <f>aantalHuishoudens2011</f>
        <v>19238</v>
      </c>
      <c r="C28" s="37"/>
      <c r="D28" s="231"/>
    </row>
    <row r="29" spans="1:7" s="16" customFormat="1">
      <c r="A29" s="233" t="s">
        <v>666</v>
      </c>
      <c r="B29" s="38">
        <f>SUM(HH_hh_gas_aantal,HH_rest_gas_aantal)</f>
        <v>13891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13891</v>
      </c>
      <c r="C32" s="170">
        <f>IF(ISERROR(B32/SUM($B$32,$B$34,$B$35,$B$36,$B$38,$B$39)*100),0,B32/SUM($B$32,$B$34,$B$35,$B$36,$B$38,$B$39)*100)</f>
        <v>72.337655574649801</v>
      </c>
      <c r="D32" s="236"/>
      <c r="G32" s="16"/>
    </row>
    <row r="33" spans="1:7">
      <c r="A33" s="174" t="s">
        <v>72</v>
      </c>
      <c r="B33" s="35" t="s">
        <v>111</v>
      </c>
      <c r="C33" s="170"/>
      <c r="D33" s="236"/>
      <c r="G33" s="16"/>
    </row>
    <row r="34" spans="1:7">
      <c r="A34" s="174" t="s">
        <v>73</v>
      </c>
      <c r="B34" s="34">
        <f>IF((($B$28-$B$32-$B$39-$B$77-$B$38)*C20/100)&lt;0,0,($B$28-$B$32-$B$39-$B$77-$B$38)*C20/100)</f>
        <v>209.83069767441862</v>
      </c>
      <c r="C34" s="170">
        <f>IF(ISERROR(B34/SUM($B$32,$B$34,$B$35,$B$36,$B$38,$B$39)*100),0,B34/SUM($B$32,$B$34,$B$35,$B$36,$B$38,$B$39)*100)</f>
        <v>1.0926974830725336</v>
      </c>
      <c r="D34" s="236"/>
      <c r="G34" s="16"/>
    </row>
    <row r="35" spans="1:7">
      <c r="A35" s="174" t="s">
        <v>74</v>
      </c>
      <c r="B35" s="34">
        <f>IF((($B$28-$B$32-$B$39-$B$77-$B$38)*C21/100)&lt;0,0,($B$28-$B$32-$B$39-$B$77-$B$38)*C21/100)</f>
        <v>4379.6241860465116</v>
      </c>
      <c r="C35" s="170">
        <f>IF(ISERROR(B35/SUM($B$32,$B$34,$B$35,$B$36,$B$38,$B$39)*100),0,B35/SUM($B$32,$B$34,$B$35,$B$36,$B$38,$B$39)*100)</f>
        <v>22.806979045183105</v>
      </c>
      <c r="D35" s="236"/>
      <c r="G35" s="16"/>
    </row>
    <row r="36" spans="1:7">
      <c r="A36" s="174" t="s">
        <v>75</v>
      </c>
      <c r="B36" s="34">
        <f>IF((($B$28-$B$32-$B$39-$B$77-$B$38)*C22/100)&lt;0,0,($B$28-$B$32-$B$39-$B$77-$B$38)*C22/100)</f>
        <v>498.54511627906976</v>
      </c>
      <c r="C36" s="170">
        <f>IF(ISERROR(B36/SUM($B$32,$B$34,$B$35,$B$36,$B$38,$B$39)*100),0,B36/SUM($B$32,$B$34,$B$35,$B$36,$B$38,$B$39)*100)</f>
        <v>2.596183493615944</v>
      </c>
      <c r="D36" s="236"/>
      <c r="G36" s="16"/>
    </row>
    <row r="37" spans="1:7">
      <c r="A37" s="174" t="s">
        <v>76</v>
      </c>
      <c r="B37" s="35" t="s">
        <v>111</v>
      </c>
      <c r="C37" s="170"/>
      <c r="D37" s="176"/>
      <c r="G37" s="16"/>
    </row>
    <row r="38" spans="1:7">
      <c r="A38" s="174" t="s">
        <v>77</v>
      </c>
      <c r="B38" s="34">
        <f>IF((B24-(B29-B18)*0.1)&lt;0,0,B24-(B29-B18)*0.1)</f>
        <v>224</v>
      </c>
      <c r="C38" s="170">
        <f>IF(ISERROR(B38/SUM($B$32,$B$34,$B$35,$B$36,$B$38,$B$39)*100),0,B38/SUM($B$32,$B$34,$B$35,$B$36,$B$38,$B$39)*100)</f>
        <v>1.1664844034786233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13891</v>
      </c>
      <c r="C44" s="35" t="s">
        <v>111</v>
      </c>
      <c r="D44" s="177"/>
    </row>
    <row r="45" spans="1:7">
      <c r="A45" s="174" t="s">
        <v>72</v>
      </c>
      <c r="B45" s="34" t="str">
        <f t="shared" si="0"/>
        <v>-</v>
      </c>
      <c r="C45" s="35" t="s">
        <v>111</v>
      </c>
      <c r="D45" s="177"/>
    </row>
    <row r="46" spans="1:7">
      <c r="A46" s="174" t="s">
        <v>73</v>
      </c>
      <c r="B46" s="34">
        <f t="shared" si="0"/>
        <v>209.83069767441862</v>
      </c>
      <c r="C46" s="35" t="s">
        <v>111</v>
      </c>
      <c r="D46" s="177"/>
    </row>
    <row r="47" spans="1:7">
      <c r="A47" s="174" t="s">
        <v>74</v>
      </c>
      <c r="B47" s="34">
        <f t="shared" si="0"/>
        <v>4379.6241860465116</v>
      </c>
      <c r="C47" s="35" t="s">
        <v>111</v>
      </c>
      <c r="D47" s="177"/>
    </row>
    <row r="48" spans="1:7">
      <c r="A48" s="174" t="s">
        <v>75</v>
      </c>
      <c r="B48" s="34">
        <f t="shared" si="0"/>
        <v>498.54511627906976</v>
      </c>
      <c r="C48" s="34">
        <f>B48*10</f>
        <v>4985.4511627906977</v>
      </c>
      <c r="D48" s="237"/>
    </row>
    <row r="49" spans="1:6">
      <c r="A49" s="174" t="s">
        <v>76</v>
      </c>
      <c r="B49" s="34" t="str">
        <f t="shared" si="0"/>
        <v>-</v>
      </c>
      <c r="C49" s="35" t="s">
        <v>111</v>
      </c>
      <c r="D49" s="237"/>
    </row>
    <row r="50" spans="1:6">
      <c r="A50" s="174" t="s">
        <v>77</v>
      </c>
      <c r="B50" s="34">
        <f t="shared" si="0"/>
        <v>224</v>
      </c>
      <c r="C50" s="34">
        <f>B50*2</f>
        <v>448</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408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134697.87421000542</v>
      </c>
      <c r="C5" s="18">
        <f>IF(ISERROR('Eigen informatie GS &amp; warmtenet'!B58),0,'Eigen informatie GS &amp; warmtenet'!B58)</f>
        <v>0</v>
      </c>
      <c r="D5" s="31">
        <f>SUM(D6:D12)</f>
        <v>66687.735320411855</v>
      </c>
      <c r="E5" s="18">
        <f>SUM(E6:E12)</f>
        <v>684.77028136314607</v>
      </c>
      <c r="F5" s="18">
        <f>SUM(F6:F12)</f>
        <v>21270.094719853227</v>
      </c>
      <c r="G5" s="19"/>
      <c r="H5" s="18"/>
      <c r="I5" s="18"/>
      <c r="J5" s="18">
        <f>SUM(J6:J12)</f>
        <v>0</v>
      </c>
      <c r="K5" s="18"/>
      <c r="L5" s="18"/>
      <c r="M5" s="18"/>
      <c r="N5" s="18">
        <f>SUM(N6:N12)</f>
        <v>5317.7274455560137</v>
      </c>
      <c r="O5" s="18">
        <f>B38*B39*B40</f>
        <v>0</v>
      </c>
      <c r="P5" s="18">
        <f>B46*B47*B48/1000-B46*B47*B48/1000/B49</f>
        <v>0</v>
      </c>
      <c r="R5" s="33"/>
    </row>
    <row r="6" spans="1:18">
      <c r="A6" s="33" t="s">
        <v>54</v>
      </c>
      <c r="B6" s="38">
        <f>B26</f>
        <v>83561.226283099997</v>
      </c>
      <c r="C6" s="34"/>
      <c r="D6" s="38">
        <f>IF(ISERROR(TER_kantoor_gas_kWh/1000),0,TER_kantoor_gas_kWh/1000)*0.902</f>
        <v>26537.290911411605</v>
      </c>
      <c r="E6" s="34">
        <f>$C$26*'E Balans VL '!I12/100/3.6*1000000</f>
        <v>137.14090817304574</v>
      </c>
      <c r="F6" s="34">
        <f>$C$26*('E Balans VL '!L12+'E Balans VL '!N12)/100/3.6*1000000</f>
        <v>9849.9024898906064</v>
      </c>
      <c r="G6" s="35"/>
      <c r="H6" s="34"/>
      <c r="I6" s="34"/>
      <c r="J6" s="34">
        <f>$C$26*('E Balans VL '!D12+'E Balans VL '!E12)/100/3.6*1000000</f>
        <v>0</v>
      </c>
      <c r="K6" s="34"/>
      <c r="L6" s="34"/>
      <c r="M6" s="34"/>
      <c r="N6" s="34">
        <f>$C$26*'E Balans VL '!Y12/100/3.6*1000000</f>
        <v>16.883150075699398</v>
      </c>
      <c r="O6" s="34"/>
      <c r="P6" s="34"/>
      <c r="R6" s="33"/>
    </row>
    <row r="7" spans="1:18">
      <c r="A7" s="33" t="s">
        <v>53</v>
      </c>
      <c r="B7" s="38">
        <f t="shared" ref="B7:B12" si="0">B27</f>
        <v>4604.7357402082598</v>
      </c>
      <c r="C7" s="34"/>
      <c r="D7" s="38">
        <f>IF(ISERROR(TER_horeca_gas_kWh/1000),0,TER_horeca_gas_kWh/1000)*0.902</f>
        <v>4926.4473903530652</v>
      </c>
      <c r="E7" s="34">
        <f>$C$27*'E Balans VL '!I9/100/3.6*1000000</f>
        <v>238.95246433595861</v>
      </c>
      <c r="F7" s="34">
        <f>$C$27*('E Balans VL '!L9+'E Balans VL '!N9)/100/3.6*1000000</f>
        <v>1050.8040371283378</v>
      </c>
      <c r="G7" s="35"/>
      <c r="H7" s="34"/>
      <c r="I7" s="34"/>
      <c r="J7" s="34">
        <f>$C$27*('E Balans VL '!D9+'E Balans VL '!E9)/100/3.6*1000000</f>
        <v>0</v>
      </c>
      <c r="K7" s="34"/>
      <c r="L7" s="34"/>
      <c r="M7" s="34"/>
      <c r="N7" s="34">
        <f>$C$27*'E Balans VL '!Y9/100/3.6*1000000</f>
        <v>0.48625798395377617</v>
      </c>
      <c r="O7" s="34"/>
      <c r="P7" s="34"/>
      <c r="R7" s="33"/>
    </row>
    <row r="8" spans="1:18">
      <c r="A8" s="6" t="s">
        <v>52</v>
      </c>
      <c r="B8" s="38">
        <f t="shared" si="0"/>
        <v>23246.423333588002</v>
      </c>
      <c r="C8" s="34"/>
      <c r="D8" s="38">
        <f>IF(ISERROR(TER_handel_gas_kWh/1000),0,TER_handel_gas_kWh/1000)*0.902</f>
        <v>10960.993761699097</v>
      </c>
      <c r="E8" s="34">
        <f>$C$28*'E Balans VL '!I13/100/3.6*1000000</f>
        <v>125.18484625712551</v>
      </c>
      <c r="F8" s="34">
        <f>$C$28*('E Balans VL '!L13+'E Balans VL '!N13)/100/3.6*1000000</f>
        <v>4740.6365392000134</v>
      </c>
      <c r="G8" s="35"/>
      <c r="H8" s="34"/>
      <c r="I8" s="34"/>
      <c r="J8" s="34">
        <f>$C$28*('E Balans VL '!D13+'E Balans VL '!E13)/100/3.6*1000000</f>
        <v>0</v>
      </c>
      <c r="K8" s="34"/>
      <c r="L8" s="34"/>
      <c r="M8" s="34"/>
      <c r="N8" s="34">
        <f>$C$28*'E Balans VL '!Y13/100/3.6*1000000</f>
        <v>115.59218715348763</v>
      </c>
      <c r="O8" s="34"/>
      <c r="P8" s="34"/>
      <c r="R8" s="33"/>
    </row>
    <row r="9" spans="1:18">
      <c r="A9" s="33" t="s">
        <v>51</v>
      </c>
      <c r="B9" s="38">
        <f t="shared" si="0"/>
        <v>965.52653678412594</v>
      </c>
      <c r="C9" s="34"/>
      <c r="D9" s="38">
        <f>IF(ISERROR(TER_gezond_gas_kWh/1000),0,TER_gezond_gas_kWh/1000)*0.902</f>
        <v>1219.5362920087684</v>
      </c>
      <c r="E9" s="34">
        <f>$C$29*'E Balans VL '!I10/100/3.6*1000000</f>
        <v>0.95684777787540332</v>
      </c>
      <c r="F9" s="34">
        <f>$C$29*('E Balans VL '!L10+'E Balans VL '!N10)/100/3.6*1000000</f>
        <v>335.00987802935794</v>
      </c>
      <c r="G9" s="35"/>
      <c r="H9" s="34"/>
      <c r="I9" s="34"/>
      <c r="J9" s="34">
        <f>$C$29*('E Balans VL '!D10+'E Balans VL '!E10)/100/3.6*1000000</f>
        <v>0</v>
      </c>
      <c r="K9" s="34"/>
      <c r="L9" s="34"/>
      <c r="M9" s="34"/>
      <c r="N9" s="34">
        <f>$C$29*'E Balans VL '!Y10/100/3.6*1000000</f>
        <v>8.3198585243059444</v>
      </c>
      <c r="O9" s="34"/>
      <c r="P9" s="34"/>
      <c r="R9" s="33"/>
    </row>
    <row r="10" spans="1:18">
      <c r="A10" s="33" t="s">
        <v>50</v>
      </c>
      <c r="B10" s="38">
        <f t="shared" si="0"/>
        <v>7361.5066942773901</v>
      </c>
      <c r="C10" s="34"/>
      <c r="D10" s="38">
        <f>IF(ISERROR(TER_ander_gas_kWh/1000),0,TER_ander_gas_kWh/1000)*0.902</f>
        <v>5429.7317671834307</v>
      </c>
      <c r="E10" s="34">
        <f>$C$30*'E Balans VL '!I14/100/3.6*1000000</f>
        <v>60.224482061158845</v>
      </c>
      <c r="F10" s="34">
        <f>$C$30*('E Balans VL '!L14+'E Balans VL '!N14)/100/3.6*1000000</f>
        <v>2152.204858056687</v>
      </c>
      <c r="G10" s="35"/>
      <c r="H10" s="34"/>
      <c r="I10" s="34"/>
      <c r="J10" s="34">
        <f>$C$30*('E Balans VL '!D14+'E Balans VL '!E14)/100/3.6*1000000</f>
        <v>0</v>
      </c>
      <c r="K10" s="34"/>
      <c r="L10" s="34"/>
      <c r="M10" s="34"/>
      <c r="N10" s="34">
        <f>$C$30*'E Balans VL '!Y14/100/3.6*1000000</f>
        <v>4246.6234513056415</v>
      </c>
      <c r="O10" s="34"/>
      <c r="P10" s="34"/>
      <c r="R10" s="33"/>
    </row>
    <row r="11" spans="1:18">
      <c r="A11" s="33" t="s">
        <v>55</v>
      </c>
      <c r="B11" s="38">
        <f t="shared" si="0"/>
        <v>864.33634474867699</v>
      </c>
      <c r="C11" s="34"/>
      <c r="D11" s="38">
        <f>IF(ISERROR(TER_onderwijs_gas_kWh/1000),0,TER_onderwijs_gas_kWh/1000)*0.902</f>
        <v>314.49732970691122</v>
      </c>
      <c r="E11" s="34">
        <f>$C$31*'E Balans VL '!I11/100/3.6*1000000</f>
        <v>0.53274045293189454</v>
      </c>
      <c r="F11" s="34">
        <f>$C$31*('E Balans VL '!L11+'E Balans VL '!N11)/100/3.6*1000000</f>
        <v>334.16642852111852</v>
      </c>
      <c r="G11" s="35"/>
      <c r="H11" s="34"/>
      <c r="I11" s="34"/>
      <c r="J11" s="34">
        <f>$C$31*('E Balans VL '!D11+'E Balans VL '!E11)/100/3.6*1000000</f>
        <v>0</v>
      </c>
      <c r="K11" s="34"/>
      <c r="L11" s="34"/>
      <c r="M11" s="34"/>
      <c r="N11" s="34">
        <f>$C$31*'E Balans VL '!Y11/100/3.6*1000000</f>
        <v>2.8115009061435519</v>
      </c>
      <c r="O11" s="34"/>
      <c r="P11" s="34"/>
      <c r="R11" s="33"/>
    </row>
    <row r="12" spans="1:18">
      <c r="A12" s="33" t="s">
        <v>260</v>
      </c>
      <c r="B12" s="38">
        <f t="shared" si="0"/>
        <v>14094.119277299</v>
      </c>
      <c r="C12" s="34"/>
      <c r="D12" s="38">
        <f>IF(ISERROR(TER_rest_gas_kWh/1000),0,TER_rest_gas_kWh/1000)*0.902</f>
        <v>17299.237868048967</v>
      </c>
      <c r="E12" s="34">
        <f>$C$32*'E Balans VL '!I8/100/3.6*1000000</f>
        <v>121.77799230505013</v>
      </c>
      <c r="F12" s="34">
        <f>$C$32*('E Balans VL '!L8+'E Balans VL '!N8)/100/3.6*1000000</f>
        <v>2807.3704890271024</v>
      </c>
      <c r="G12" s="35"/>
      <c r="H12" s="34"/>
      <c r="I12" s="34"/>
      <c r="J12" s="34">
        <f>$C$32*('E Balans VL '!D8+'E Balans VL '!E8)/100/3.6*1000000</f>
        <v>0</v>
      </c>
      <c r="K12" s="34"/>
      <c r="L12" s="34"/>
      <c r="M12" s="34"/>
      <c r="N12" s="34">
        <f>$C$32*'E Balans VL '!Y8/100/3.6*1000000</f>
        <v>927.01103960678154</v>
      </c>
      <c r="O12" s="34"/>
      <c r="P12" s="34"/>
      <c r="R12" s="33"/>
    </row>
    <row r="13" spans="1:18">
      <c r="A13" s="17" t="s">
        <v>502</v>
      </c>
      <c r="B13" s="250">
        <f ca="1">'lokale energieproductie'!N90+'lokale energieproductie'!N59</f>
        <v>886.5</v>
      </c>
      <c r="C13" s="250">
        <f ca="1">'lokale energieproductie'!O90+'lokale energieproductie'!O59</f>
        <v>1266.4285714285716</v>
      </c>
      <c r="D13" s="312">
        <f ca="1">('lokale energieproductie'!P59+'lokale energieproductie'!P90)*(-1)</f>
        <v>-2532.8571428571431</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135584.37421000542</v>
      </c>
      <c r="C16" s="22">
        <f t="shared" ca="1" si="1"/>
        <v>1266.4285714285716</v>
      </c>
      <c r="D16" s="22">
        <f t="shared" ca="1" si="1"/>
        <v>64154.87817755471</v>
      </c>
      <c r="E16" s="22">
        <f t="shared" si="1"/>
        <v>684.77028136314607</v>
      </c>
      <c r="F16" s="22">
        <f t="shared" ca="1" si="1"/>
        <v>21270.094719853227</v>
      </c>
      <c r="G16" s="22">
        <f t="shared" si="1"/>
        <v>0</v>
      </c>
      <c r="H16" s="22">
        <f t="shared" si="1"/>
        <v>0</v>
      </c>
      <c r="I16" s="22">
        <f t="shared" si="1"/>
        <v>0</v>
      </c>
      <c r="J16" s="22">
        <f t="shared" si="1"/>
        <v>0</v>
      </c>
      <c r="K16" s="22">
        <f t="shared" si="1"/>
        <v>0</v>
      </c>
      <c r="L16" s="22">
        <f t="shared" ca="1" si="1"/>
        <v>0</v>
      </c>
      <c r="M16" s="22">
        <f t="shared" si="1"/>
        <v>0</v>
      </c>
      <c r="N16" s="22">
        <f t="shared" ca="1" si="1"/>
        <v>5317.7274455560137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0.17274235553714051</v>
      </c>
      <c r="C18" s="26">
        <f ca="1">'EF ele_warmte'!B22</f>
        <v>0.19554376185958264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23421.16417506546</v>
      </c>
      <c r="C20" s="24">
        <f t="shared" ref="C20:P20" ca="1" si="2">C16*C18</f>
        <v>247.64220698360003</v>
      </c>
      <c r="D20" s="24">
        <f t="shared" ca="1" si="2"/>
        <v>12959.285391866053</v>
      </c>
      <c r="E20" s="24">
        <f t="shared" si="2"/>
        <v>155.44285386943417</v>
      </c>
      <c r="F20" s="24">
        <f t="shared" ca="1" si="2"/>
        <v>5679.1152902008116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83561.226283099997</v>
      </c>
      <c r="C26" s="40">
        <f>IF(ISERROR(B26*3.6/1000000/'E Balans VL '!Z12*100),0,B26*3.6/1000000/'E Balans VL '!Z12*100)</f>
        <v>1.7756161341664574</v>
      </c>
      <c r="D26" s="240" t="s">
        <v>707</v>
      </c>
      <c r="F26" s="6"/>
    </row>
    <row r="27" spans="1:18">
      <c r="A27" s="234" t="s">
        <v>53</v>
      </c>
      <c r="B27" s="34">
        <f>IF(ISERROR(TER_horeca_ele_kWh/1000),0,TER_horeca_ele_kWh/1000)</f>
        <v>4604.7357402082598</v>
      </c>
      <c r="C27" s="40">
        <f>IF(ISERROR(B27*3.6/1000000/'E Balans VL '!Z9*100),0,B27*3.6/1000000/'E Balans VL '!Z9*100)</f>
        <v>0.36242831102144812</v>
      </c>
      <c r="D27" s="240" t="s">
        <v>707</v>
      </c>
      <c r="F27" s="6"/>
    </row>
    <row r="28" spans="1:18">
      <c r="A28" s="174" t="s">
        <v>52</v>
      </c>
      <c r="B28" s="34">
        <f>IF(ISERROR(TER_handel_ele_kWh/1000),0,TER_handel_ele_kWh/1000)</f>
        <v>23246.423333588002</v>
      </c>
      <c r="C28" s="40">
        <f>IF(ISERROR(B28*3.6/1000000/'E Balans VL '!Z13*100),0,B28*3.6/1000000/'E Balans VL '!Z13*100)</f>
        <v>0.65114475856840126</v>
      </c>
      <c r="D28" s="240" t="s">
        <v>707</v>
      </c>
      <c r="F28" s="6"/>
    </row>
    <row r="29" spans="1:18">
      <c r="A29" s="234" t="s">
        <v>51</v>
      </c>
      <c r="B29" s="34">
        <f>IF(ISERROR(TER_gezond_ele_kWh/1000),0,TER_gezond_ele_kWh/1000)</f>
        <v>965.52653678412594</v>
      </c>
      <c r="C29" s="40">
        <f>IF(ISERROR(B29*3.6/1000000/'E Balans VL '!Z10*100),0,B29*3.6/1000000/'E Balans VL '!Z10*100)</f>
        <v>0.12352004040129697</v>
      </c>
      <c r="D29" s="240" t="s">
        <v>707</v>
      </c>
      <c r="F29" s="6"/>
    </row>
    <row r="30" spans="1:18">
      <c r="A30" s="234" t="s">
        <v>50</v>
      </c>
      <c r="B30" s="34">
        <f>IF(ISERROR(TER_ander_ele_kWh/1000),0,TER_ander_ele_kWh/1000)</f>
        <v>7361.5066942773901</v>
      </c>
      <c r="C30" s="40">
        <f>IF(ISERROR(B30*3.6/1000000/'E Balans VL '!Z14*100),0,B30*3.6/1000000/'E Balans VL '!Z14*100)</f>
        <v>0.55057867159296192</v>
      </c>
      <c r="D30" s="240" t="s">
        <v>707</v>
      </c>
      <c r="F30" s="6"/>
    </row>
    <row r="31" spans="1:18">
      <c r="A31" s="234" t="s">
        <v>55</v>
      </c>
      <c r="B31" s="34">
        <f>IF(ISERROR(TER_onderwijs_ele_kWh/1000),0,TER_onderwijs_ele_kWh/1000)</f>
        <v>864.33634474867699</v>
      </c>
      <c r="C31" s="40">
        <f>IF(ISERROR(B31*3.6/1000000/'E Balans VL '!Z11*100),0,B31*3.6/1000000/'E Balans VL '!Z11*100)</f>
        <v>0.18250573879542695</v>
      </c>
      <c r="D31" s="240" t="s">
        <v>707</v>
      </c>
    </row>
    <row r="32" spans="1:18">
      <c r="A32" s="234" t="s">
        <v>260</v>
      </c>
      <c r="B32" s="34">
        <f>IF(ISERROR(TER_rest_ele_kWh/1000),0,TER_rest_ele_kWh/1000)</f>
        <v>14094.119277299</v>
      </c>
      <c r="C32" s="40">
        <f>IF(ISERROR(B32*3.6/1000000/'E Balans VL '!Z8*100),0,B32*3.6/1000000/'E Balans VL '!Z8*100)</f>
        <v>0.11610639712859278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93740.710850076852</v>
      </c>
      <c r="C5" s="18">
        <f>IF(ISERROR('Eigen informatie GS &amp; warmtenet'!B59),0,'Eigen informatie GS &amp; warmtenet'!B59)</f>
        <v>0</v>
      </c>
      <c r="D5" s="31">
        <f>SUM(D6:D15)</f>
        <v>29849.089845671027</v>
      </c>
      <c r="E5" s="18">
        <f>SUM(E6:E15)</f>
        <v>804.79228597309998</v>
      </c>
      <c r="F5" s="18">
        <f>SUM(F6:F15)</f>
        <v>19062.642520896534</v>
      </c>
      <c r="G5" s="19"/>
      <c r="H5" s="18"/>
      <c r="I5" s="18"/>
      <c r="J5" s="18">
        <f>SUM(J6:J15)</f>
        <v>355.84819482120571</v>
      </c>
      <c r="K5" s="18"/>
      <c r="L5" s="18"/>
      <c r="M5" s="18"/>
      <c r="N5" s="18">
        <f>SUM(N6:N15)</f>
        <v>2681.3962180146532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749.05353848814696</v>
      </c>
      <c r="C8" s="34"/>
      <c r="D8" s="38">
        <f>IF( ISERROR(IND_metaal_Gas_kWH/1000),0,IND_metaal_Gas_kWH/1000)*0.902</f>
        <v>0</v>
      </c>
      <c r="E8" s="34">
        <f>C30*'E Balans VL '!I18/100/3.6*1000000</f>
        <v>6.8214955863097879</v>
      </c>
      <c r="F8" s="34">
        <f>C30*'E Balans VL '!L18/100/3.6*1000000+C30*'E Balans VL '!N18/100/3.6*1000000</f>
        <v>98.794473316313798</v>
      </c>
      <c r="G8" s="35"/>
      <c r="H8" s="34"/>
      <c r="I8" s="34"/>
      <c r="J8" s="41">
        <f>C30*'E Balans VL '!D18/100/3.6*1000000+C30*'E Balans VL '!E18/100/3.6*1000000</f>
        <v>12.283390444630548</v>
      </c>
      <c r="K8" s="34"/>
      <c r="L8" s="34"/>
      <c r="M8" s="34"/>
      <c r="N8" s="34">
        <f>C30*'E Balans VL '!Y18/100/3.6*1000000</f>
        <v>2.5741994510288979</v>
      </c>
      <c r="O8" s="34"/>
      <c r="P8" s="34"/>
      <c r="R8" s="33"/>
    </row>
    <row r="9" spans="1:18">
      <c r="A9" s="6" t="s">
        <v>33</v>
      </c>
      <c r="B9" s="38">
        <f t="shared" si="0"/>
        <v>6324.5669426276199</v>
      </c>
      <c r="C9" s="34"/>
      <c r="D9" s="38">
        <f>IF( ISERROR(IND_andere_gas_kWh/1000),0,IND_andere_gas_kWh/1000)*0.902</f>
        <v>3233.1146011479227</v>
      </c>
      <c r="E9" s="34">
        <f>C31*'E Balans VL '!I19/100/3.6*1000000</f>
        <v>36.556942056742827</v>
      </c>
      <c r="F9" s="34">
        <f>C31*'E Balans VL '!L19/100/3.6*1000000+C31*'E Balans VL '!N19/100/3.6*1000000</f>
        <v>5031.4973289789241</v>
      </c>
      <c r="G9" s="35"/>
      <c r="H9" s="34"/>
      <c r="I9" s="34"/>
      <c r="J9" s="41">
        <f>C31*'E Balans VL '!D19/100/3.6*1000000+C31*'E Balans VL '!E19/100/3.6*1000000</f>
        <v>0.59823378147275774</v>
      </c>
      <c r="K9" s="34"/>
      <c r="L9" s="34"/>
      <c r="M9" s="34"/>
      <c r="N9" s="34">
        <f>C31*'E Balans VL '!Y19/100/3.6*1000000</f>
        <v>479.18165751881128</v>
      </c>
      <c r="O9" s="34"/>
      <c r="P9" s="34"/>
      <c r="R9" s="33"/>
    </row>
    <row r="10" spans="1:18">
      <c r="A10" s="6" t="s">
        <v>41</v>
      </c>
      <c r="B10" s="38">
        <f t="shared" si="0"/>
        <v>1347.10664683818</v>
      </c>
      <c r="C10" s="34"/>
      <c r="D10" s="38">
        <f>IF( ISERROR(IND_voed_gas_kWh/1000),0,IND_voed_gas_kWh/1000)*0.902</f>
        <v>1112.6214919476336</v>
      </c>
      <c r="E10" s="34">
        <f>C32*'E Balans VL '!I20/100/3.6*1000000</f>
        <v>13.245582573244489</v>
      </c>
      <c r="F10" s="34">
        <f>C32*'E Balans VL '!L20/100/3.6*1000000+C32*'E Balans VL '!N20/100/3.6*1000000</f>
        <v>149.61377643539862</v>
      </c>
      <c r="G10" s="35"/>
      <c r="H10" s="34"/>
      <c r="I10" s="34"/>
      <c r="J10" s="41">
        <f>C32*'E Balans VL '!D20/100/3.6*1000000+C32*'E Balans VL '!E20/100/3.6*1000000</f>
        <v>5.3095588448085823E-3</v>
      </c>
      <c r="K10" s="34"/>
      <c r="L10" s="34"/>
      <c r="M10" s="34"/>
      <c r="N10" s="34">
        <f>C32*'E Balans VL '!Y20/100/3.6*1000000</f>
        <v>19.947480710831581</v>
      </c>
      <c r="O10" s="34"/>
      <c r="P10" s="34"/>
      <c r="R10" s="33"/>
    </row>
    <row r="11" spans="1:18">
      <c r="A11" s="6" t="s">
        <v>40</v>
      </c>
      <c r="B11" s="38">
        <f t="shared" si="0"/>
        <v>147.279656876644</v>
      </c>
      <c r="C11" s="34"/>
      <c r="D11" s="38">
        <f>IF( ISERROR(IND_textiel_gas_kWh/1000),0,IND_textiel_gas_kWh/1000)*0.902</f>
        <v>81.301858058524914</v>
      </c>
      <c r="E11" s="34">
        <f>C33*'E Balans VL '!I21/100/3.6*1000000</f>
        <v>0.28678769128343434</v>
      </c>
      <c r="F11" s="34">
        <f>C33*'E Balans VL '!L21/100/3.6*1000000+C33*'E Balans VL '!N21/100/3.6*1000000</f>
        <v>4.857766382513363</v>
      </c>
      <c r="G11" s="35"/>
      <c r="H11" s="34"/>
      <c r="I11" s="34"/>
      <c r="J11" s="41">
        <f>C33*'E Balans VL '!D21/100/3.6*1000000+C33*'E Balans VL '!E21/100/3.6*1000000</f>
        <v>0</v>
      </c>
      <c r="K11" s="34"/>
      <c r="L11" s="34"/>
      <c r="M11" s="34"/>
      <c r="N11" s="34">
        <f>C33*'E Balans VL '!Y21/100/3.6*1000000</f>
        <v>1.5276774134201447</v>
      </c>
      <c r="O11" s="34"/>
      <c r="P11" s="34"/>
      <c r="R11" s="33"/>
    </row>
    <row r="12" spans="1:18">
      <c r="A12" s="6" t="s">
        <v>37</v>
      </c>
      <c r="B12" s="38">
        <f t="shared" si="0"/>
        <v>52.676364887824697</v>
      </c>
      <c r="C12" s="34"/>
      <c r="D12" s="38">
        <f>IF( ISERROR(IND_min_gas_kWh/1000),0,IND_min_gas_kWh/1000)*0.902</f>
        <v>55.973341773534258</v>
      </c>
      <c r="E12" s="34">
        <f>C34*'E Balans VL '!I22/100/3.6*1000000</f>
        <v>1.3354395872383944</v>
      </c>
      <c r="F12" s="34">
        <f>C34*'E Balans VL '!L22/100/3.6*1000000+C34*'E Balans VL '!N22/100/3.6*1000000</f>
        <v>14.575733772686361</v>
      </c>
      <c r="G12" s="35"/>
      <c r="H12" s="34"/>
      <c r="I12" s="34"/>
      <c r="J12" s="41">
        <f>C34*'E Balans VL '!D22/100/3.6*1000000+C34*'E Balans VL '!E22/100/3.6*1000000</f>
        <v>0.34788529908359339</v>
      </c>
      <c r="K12" s="34"/>
      <c r="L12" s="34"/>
      <c r="M12" s="34"/>
      <c r="N12" s="34">
        <f>C34*'E Balans VL '!Y22/100/3.6*1000000</f>
        <v>0</v>
      </c>
      <c r="O12" s="34"/>
      <c r="P12" s="34"/>
      <c r="R12" s="33"/>
    </row>
    <row r="13" spans="1:18">
      <c r="A13" s="6" t="s">
        <v>39</v>
      </c>
      <c r="B13" s="38">
        <f t="shared" si="0"/>
        <v>222.494191850839</v>
      </c>
      <c r="C13" s="34"/>
      <c r="D13" s="38">
        <f>IF( ISERROR(IND_papier_gas_kWh/1000),0,IND_papier_gas_kWh/1000)*0.902</f>
        <v>160.90415703526074</v>
      </c>
      <c r="E13" s="34">
        <f>C35*'E Balans VL '!I23/100/3.6*1000000</f>
        <v>7.5784747701611392</v>
      </c>
      <c r="F13" s="34">
        <f>C35*'E Balans VL '!L23/100/3.6*1000000+C35*'E Balans VL '!N23/100/3.6*1000000</f>
        <v>36.750818667478647</v>
      </c>
      <c r="G13" s="35"/>
      <c r="H13" s="34"/>
      <c r="I13" s="34"/>
      <c r="J13" s="41">
        <f>C35*'E Balans VL '!D23/100/3.6*1000000+C35*'E Balans VL '!E23/100/3.6*1000000</f>
        <v>0</v>
      </c>
      <c r="K13" s="34"/>
      <c r="L13" s="34"/>
      <c r="M13" s="34"/>
      <c r="N13" s="34">
        <f>C35*'E Balans VL '!Y23/100/3.6*1000000</f>
        <v>81.871895769432399</v>
      </c>
      <c r="O13" s="34"/>
      <c r="P13" s="34"/>
      <c r="R13" s="33"/>
    </row>
    <row r="14" spans="1:18">
      <c r="A14" s="6" t="s">
        <v>34</v>
      </c>
      <c r="B14" s="38">
        <f t="shared" si="0"/>
        <v>16766.887590467799</v>
      </c>
      <c r="C14" s="34"/>
      <c r="D14" s="38">
        <f>IF( ISERROR(IND_chemie_gas_kWh/1000),0,IND_chemie_gas_kWh/1000)*0.902</f>
        <v>0</v>
      </c>
      <c r="E14" s="34">
        <f>C36*'E Balans VL '!I24/100/3.6*1000000</f>
        <v>126.76663555353896</v>
      </c>
      <c r="F14" s="34">
        <f>C36*'E Balans VL '!L24/100/3.6*1000000+C36*'E Balans VL '!N24/100/3.6*1000000</f>
        <v>310.2337777450366</v>
      </c>
      <c r="G14" s="35"/>
      <c r="H14" s="34"/>
      <c r="I14" s="34"/>
      <c r="J14" s="41">
        <f>C36*'E Balans VL '!D24/100/3.6*1000000+C36*'E Balans VL '!E24/100/3.6*1000000</f>
        <v>0</v>
      </c>
      <c r="K14" s="34"/>
      <c r="L14" s="34"/>
      <c r="M14" s="34"/>
      <c r="N14" s="34">
        <f>C36*'E Balans VL '!Y24/100/3.6*1000000</f>
        <v>4.8619650479505987</v>
      </c>
      <c r="O14" s="34"/>
      <c r="P14" s="34"/>
      <c r="R14" s="33"/>
    </row>
    <row r="15" spans="1:18">
      <c r="A15" s="6" t="s">
        <v>270</v>
      </c>
      <c r="B15" s="38">
        <f t="shared" si="0"/>
        <v>68130.645918039794</v>
      </c>
      <c r="C15" s="34"/>
      <c r="D15" s="38">
        <f>IF( ISERROR(IND_rest_gas_kWh/1000),0,IND_rest_gas_kWh/1000)*0.902</f>
        <v>25205.174395708153</v>
      </c>
      <c r="E15" s="34">
        <f>C37*'E Balans VL '!I15/100/3.6*1000000</f>
        <v>612.20092815458099</v>
      </c>
      <c r="F15" s="34">
        <f>C37*'E Balans VL '!L15/100/3.6*1000000+C37*'E Balans VL '!N15/100/3.6*1000000</f>
        <v>13416.318845598182</v>
      </c>
      <c r="G15" s="35"/>
      <c r="H15" s="34"/>
      <c r="I15" s="34"/>
      <c r="J15" s="41">
        <f>C37*'E Balans VL '!D15/100/3.6*1000000+C37*'E Balans VL '!E15/100/3.6*1000000</f>
        <v>342.61337573717401</v>
      </c>
      <c r="K15" s="34"/>
      <c r="L15" s="34"/>
      <c r="M15" s="34"/>
      <c r="N15" s="34">
        <f>C37*'E Balans VL '!Y15/100/3.6*1000000</f>
        <v>2091.4313421031784</v>
      </c>
      <c r="O15" s="34"/>
      <c r="P15" s="34"/>
      <c r="R15" s="33"/>
    </row>
    <row r="16" spans="1:18">
      <c r="A16" s="17" t="s">
        <v>502</v>
      </c>
      <c r="B16" s="250">
        <f>'lokale energieproductie'!N89+'lokale energieproductie'!N58</f>
        <v>2970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-8485.7142857142862</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96710.710850076852</v>
      </c>
      <c r="C18" s="22">
        <f>C5+C16</f>
        <v>0</v>
      </c>
      <c r="D18" s="22">
        <f>MAX((D5+D16),0)</f>
        <v>29849.089845671027</v>
      </c>
      <c r="E18" s="22">
        <f>MAX((E5+E16),0)</f>
        <v>804.79228597309998</v>
      </c>
      <c r="F18" s="22">
        <f>MAX((F5+F16),0)</f>
        <v>19062.642520896534</v>
      </c>
      <c r="G18" s="22"/>
      <c r="H18" s="22"/>
      <c r="I18" s="22"/>
      <c r="J18" s="22">
        <f>MAX((J5+J16),0)</f>
        <v>355.84819482120571</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0.17274235553714051</v>
      </c>
      <c r="C20" s="26">
        <f ca="1">'EF ele_warmte'!B22</f>
        <v>0.19554376185958264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16706.035997913568</v>
      </c>
      <c r="C22" s="24">
        <f ca="1">C18*C20</f>
        <v>0</v>
      </c>
      <c r="D22" s="24">
        <f>D18*D20</f>
        <v>6029.516148825548</v>
      </c>
      <c r="E22" s="24">
        <f>E18*E20</f>
        <v>182.68784891589371</v>
      </c>
      <c r="F22" s="24">
        <f>F18*F20</f>
        <v>5089.7255530793745</v>
      </c>
      <c r="G22" s="24"/>
      <c r="H22" s="24"/>
      <c r="I22" s="24"/>
      <c r="J22" s="24">
        <f>J18*J20</f>
        <v>125.97026096670682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749.05353848814696</v>
      </c>
      <c r="C30" s="40">
        <f>IF(ISERROR(B30*3.6/1000000/'E Balans VL '!Z18*100),0,B30*3.6/1000000/'E Balans VL '!Z18*100)</f>
        <v>4.1679820538828384E-2</v>
      </c>
      <c r="D30" s="240" t="s">
        <v>707</v>
      </c>
    </row>
    <row r="31" spans="1:18">
      <c r="A31" s="6" t="s">
        <v>33</v>
      </c>
      <c r="B31" s="38">
        <f>IF( ISERROR(IND_ander_ele_kWh/1000),0,IND_ander_ele_kWh/1000)</f>
        <v>6324.5669426276199</v>
      </c>
      <c r="C31" s="40">
        <f>IF(ISERROR(B31*3.6/1000000/'E Balans VL '!Z19*100),0,B31*3.6/1000000/'E Balans VL '!Z19*100)</f>
        <v>0.29401250693541681</v>
      </c>
      <c r="D31" s="240" t="s">
        <v>707</v>
      </c>
    </row>
    <row r="32" spans="1:18">
      <c r="A32" s="174" t="s">
        <v>41</v>
      </c>
      <c r="B32" s="38">
        <f>IF( ISERROR(IND_voed_ele_kWh/1000),0,IND_voed_ele_kWh/1000)</f>
        <v>1347.10664683818</v>
      </c>
      <c r="C32" s="40">
        <f>IF(ISERROR(B32*3.6/1000000/'E Balans VL '!Z20*100),0,B32*3.6/1000000/'E Balans VL '!Z20*100)</f>
        <v>4.7617499368637899E-2</v>
      </c>
      <c r="D32" s="240" t="s">
        <v>707</v>
      </c>
    </row>
    <row r="33" spans="1:5">
      <c r="A33" s="174" t="s">
        <v>40</v>
      </c>
      <c r="B33" s="38">
        <f>IF( ISERROR(IND_textiel_ele_kWh/1000),0,IND_textiel_ele_kWh/1000)</f>
        <v>147.279656876644</v>
      </c>
      <c r="C33" s="40">
        <f>IF(ISERROR(B33*3.6/1000000/'E Balans VL '!Z21*100),0,B33*3.6/1000000/'E Balans VL '!Z21*100)</f>
        <v>1.98923524733697E-2</v>
      </c>
      <c r="D33" s="240" t="s">
        <v>707</v>
      </c>
    </row>
    <row r="34" spans="1:5">
      <c r="A34" s="174" t="s">
        <v>37</v>
      </c>
      <c r="B34" s="38">
        <f>IF( ISERROR(IND_min_ele_kWh/1000),0,IND_min_ele_kWh/1000)</f>
        <v>52.676364887824697</v>
      </c>
      <c r="C34" s="40">
        <f>IF(ISERROR(B34*3.6/1000000/'E Balans VL '!Z22*100),0,B34*3.6/1000000/'E Balans VL '!Z22*100)</f>
        <v>1.0586463919146617E-2</v>
      </c>
      <c r="D34" s="240" t="s">
        <v>707</v>
      </c>
    </row>
    <row r="35" spans="1:5">
      <c r="A35" s="174" t="s">
        <v>39</v>
      </c>
      <c r="B35" s="38">
        <f>IF( ISERROR(IND_papier_ele_kWh/1000),0,IND_papier_ele_kWh/1000)</f>
        <v>222.494191850839</v>
      </c>
      <c r="C35" s="40">
        <f>IF(ISERROR(B35*3.6/1000000/'E Balans VL '!Z22*100),0,B35*3.6/1000000/'E Balans VL '!Z22*100)</f>
        <v>4.471505843777409E-2</v>
      </c>
      <c r="D35" s="240" t="s">
        <v>707</v>
      </c>
    </row>
    <row r="36" spans="1:5">
      <c r="A36" s="174" t="s">
        <v>34</v>
      </c>
      <c r="B36" s="38">
        <f>IF( ISERROR(IND_chemie_ele_kWh/1000),0,IND_chemie_ele_kWh/1000)</f>
        <v>16766.887590467799</v>
      </c>
      <c r="C36" s="40">
        <f>IF(ISERROR(B36*3.6/1000000/'E Balans VL '!Z24*100),0,B36*3.6/1000000/'E Balans VL '!Z24*100)</f>
        <v>0.41288835998556112</v>
      </c>
      <c r="D36" s="240" t="s">
        <v>707</v>
      </c>
    </row>
    <row r="37" spans="1:5">
      <c r="A37" s="174" t="s">
        <v>270</v>
      </c>
      <c r="B37" s="38">
        <f>IF( ISERROR(IND_rest_ele_kWh/1000),0,IND_rest_ele_kWh/1000)</f>
        <v>68130.645918039794</v>
      </c>
      <c r="C37" s="40">
        <f>IF(ISERROR(B37*3.6/1000000/'E Balans VL '!Z15*100),0,B37*3.6/1000000/'E Balans VL '!Z15*100)</f>
        <v>0.51448702086412823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9622.4109834957871</v>
      </c>
      <c r="C5" s="18">
        <f>'Eigen informatie GS &amp; warmtenet'!B60</f>
        <v>0</v>
      </c>
      <c r="D5" s="31">
        <f>IF(ISERROR(SUM(LB_lb_gas_kWh,LB_rest_gas_kWh,onbekend_gas_kWh)/1000),0,SUM(LB_lb_gas_kWh,LB_rest_gas_kWh,onbekend_gas_kWh)/1000)*0.902</f>
        <v>146206.16764155915</v>
      </c>
      <c r="E5" s="18">
        <f>B17*'E Balans VL '!I25/3.6*1000000/100</f>
        <v>90.64955869137826</v>
      </c>
      <c r="F5" s="18">
        <f>B17*('E Balans VL '!L25/3.6*1000000+'E Balans VL '!N25/3.6*1000000)/100</f>
        <v>31401.120436897567</v>
      </c>
      <c r="G5" s="19"/>
      <c r="H5" s="18"/>
      <c r="I5" s="18"/>
      <c r="J5" s="18">
        <f>('E Balans VL '!D25+'E Balans VL '!E25)/3.6*1000000*landbouw!B17/100</f>
        <v>1190.3390420564619</v>
      </c>
      <c r="K5" s="18"/>
      <c r="L5" s="18">
        <f>L6*(-1)</f>
        <v>0</v>
      </c>
      <c r="M5" s="18"/>
      <c r="N5" s="18">
        <f>N6*(-1)</f>
        <v>32538.857142857149</v>
      </c>
      <c r="O5" s="18"/>
      <c r="P5" s="18"/>
      <c r="R5" s="33"/>
    </row>
    <row r="6" spans="1:18">
      <c r="A6" s="17" t="s">
        <v>502</v>
      </c>
      <c r="B6" s="18" t="s">
        <v>211</v>
      </c>
      <c r="C6" s="18">
        <f>'lokale energieproductie'!O91+'lokale energieproductie'!O60</f>
        <v>90564.428571428565</v>
      </c>
      <c r="D6" s="312">
        <f>('lokale energieproductie'!P60+'lokale energieproductie'!P91)*(-1)</f>
        <v>-148590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-32538.857142857149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9622.4109834957871</v>
      </c>
      <c r="C8" s="22">
        <f>C5+C6</f>
        <v>90564.428571428565</v>
      </c>
      <c r="D8" s="22">
        <f>MAX((D5+D6),0)</f>
        <v>0</v>
      </c>
      <c r="E8" s="22">
        <f>MAX((E5+E6),0)</f>
        <v>90.64955869137826</v>
      </c>
      <c r="F8" s="22">
        <f>MAX((F5+F6),0)</f>
        <v>31401.120436897567</v>
      </c>
      <c r="G8" s="22"/>
      <c r="H8" s="22"/>
      <c r="I8" s="22"/>
      <c r="J8" s="22">
        <f>MAX((J5+J6),0)</f>
        <v>1190.3390420564619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0.17274235553714051</v>
      </c>
      <c r="C10" s="32">
        <f ca="1">'EF ele_warmte'!B22</f>
        <v>0.19554376185958264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1662.1979392355152</v>
      </c>
      <c r="C12" s="24">
        <f ca="1">C8*C10</f>
        <v>17709.30905352061</v>
      </c>
      <c r="D12" s="24">
        <f>D8*D10</f>
        <v>0</v>
      </c>
      <c r="E12" s="24">
        <f>E8*E10</f>
        <v>20.577449822942867</v>
      </c>
      <c r="F12" s="24">
        <f>F8*F10</f>
        <v>8384.0991566516514</v>
      </c>
      <c r="G12" s="24"/>
      <c r="H12" s="24"/>
      <c r="I12" s="24"/>
      <c r="J12" s="24">
        <f>J8*J10</f>
        <v>421.38002088798748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1.3027206859530933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907.02963299414512</v>
      </c>
      <c r="C26" s="250">
        <f>B26*'GWP N2O_CH4'!B5</f>
        <v>19047.622292877048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510.79613905519869</v>
      </c>
      <c r="C27" s="250">
        <f>B27*'GWP N2O_CH4'!B5</f>
        <v>10726.718920159172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14.283093345549569</v>
      </c>
      <c r="C28" s="250">
        <f>B28*'GWP N2O_CH4'!B4</f>
        <v>4427.7589371203667</v>
      </c>
      <c r="D28" s="51"/>
    </row>
    <row r="29" spans="1:4">
      <c r="A29" s="42" t="s">
        <v>277</v>
      </c>
      <c r="B29" s="250">
        <f>B34*'ha_N2O bodem landbouw'!B4</f>
        <v>39.59480428787441</v>
      </c>
      <c r="C29" s="250">
        <f>B29*'GWP N2O_CH4'!B4</f>
        <v>12274.389329241067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1.0689350702721697E-2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3.6444133312901454E-5</v>
      </c>
      <c r="C5" s="447" t="s">
        <v>211</v>
      </c>
      <c r="D5" s="432">
        <f>SUM(D6:D11)</f>
        <v>1.0167178145162133E-4</v>
      </c>
      <c r="E5" s="432">
        <f>SUM(E6:E11)</f>
        <v>6.7472256031360645E-3</v>
      </c>
      <c r="F5" s="445" t="s">
        <v>211</v>
      </c>
      <c r="G5" s="432">
        <f>SUM(G6:G11)</f>
        <v>1.9856723972177783</v>
      </c>
      <c r="H5" s="432">
        <f>SUM(H6:H11)</f>
        <v>0.23359162145371187</v>
      </c>
      <c r="I5" s="447" t="s">
        <v>211</v>
      </c>
      <c r="J5" s="447" t="s">
        <v>211</v>
      </c>
      <c r="K5" s="447" t="s">
        <v>211</v>
      </c>
      <c r="L5" s="447" t="s">
        <v>211</v>
      </c>
      <c r="M5" s="432">
        <f>SUM(M6:M11)</f>
        <v>9.9108482253812816E-2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8.579437541896554E-6</v>
      </c>
      <c r="C6" s="433"/>
      <c r="D6" s="433">
        <f>vkm_2011_GW_PW*SUMIFS(TableVerdeelsleutelVkm[CNG],TableVerdeelsleutelVkm[Voertuigtype],"Lichte voertuigen")*SUMIFS(TableECFTransport[EnergieConsumptieFactor (PJ per km)],TableECFTransport[Index],CONCATENATE($A6,"_CNG_CNG"))</f>
        <v>2.0951130158065163E-5</v>
      </c>
      <c r="E6" s="435">
        <f>vkm_2011_GW_PW*SUMIFS(TableVerdeelsleutelVkm[LPG],TableVerdeelsleutelVkm[Voertuigtype],"Lichte voertuigen")*SUMIFS(TableECFTransport[EnergieConsumptieFactor (PJ per km)],TableECFTransport[Index],CONCATENATE($A6,"_LPG_LPG"))</f>
        <v>1.2418747232411896E-3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0.1795276000084971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4.7049026229820462E-2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1.014651858940171E-2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0.18207093527599</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7.3458524034741219E-5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8.1112038341924191E-3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5.5540371829483932E-6</v>
      </c>
      <c r="C8" s="433"/>
      <c r="D8" s="435">
        <f>vkm_2011_NGW_PW*SUMIFS(TableVerdeelsleutelVkm[CNG],TableVerdeelsleutelVkm[Voertuigtype],"Lichte voertuigen")*SUMIFS(TableECFTransport[EnergieConsumptieFactor (PJ per km)],TableECFTransport[Index],CONCATENATE($A8,"_CNG_CNG"))</f>
        <v>2.4334419333122941E-5</v>
      </c>
      <c r="E8" s="435">
        <f>vkm_2011_NGW_PW*SUMIFS(TableVerdeelsleutelVkm[LPG],TableVerdeelsleutelVkm[Voertuigtype],"Lichte voertuigen")*SUMIFS(TableECFTransport[EnergieConsumptieFactor (PJ per km)],TableECFTransport[Index],CONCATENATE($A8,"_LPG_LPG"))</f>
        <v>1.3232744386452427E-3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0.18071340175681086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5.232955260034438E-2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1.0440844984773462E-2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0.1612569830739751</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5.6648244242037996E-5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7.1835639243353518E-3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2.2310658588056508E-5</v>
      </c>
      <c r="C10" s="433"/>
      <c r="D10" s="435">
        <f>vkm_2011_SW_PW*SUMIFS(TableVerdeelsleutelVkm[CNG],TableVerdeelsleutelVkm[Voertuigtype],"Lichte voertuigen")*SUMIFS(TableECFTransport[EnergieConsumptieFactor (PJ per km)],TableECFTransport[Index],CONCATENATE($A10,"_CNG_CNG"))</f>
        <v>5.6386231960433227E-5</v>
      </c>
      <c r="E10" s="435">
        <f>vkm_2011_SW_PW*SUMIFS(TableVerdeelsleutelVkm[LPG],TableVerdeelsleutelVkm[Voertuigtype],"Lichte voertuigen")*SUMIFS(TableECFTransport[EnergieConsumptieFactor (PJ per km)],TableECFTransport[Index],CONCATENATE($A10,"_LPG_LPG"))</f>
        <v>4.1820764412496322E-3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0.55096518064143485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0.13376997108778749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3.0653543702693836E-2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0.73113829646107042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3.1296476748277931E-4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3.2572807218416031E-2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10.123370364694848</v>
      </c>
      <c r="C14" s="22"/>
      <c r="D14" s="22">
        <f t="shared" ref="D14:M14" si="0">((D5)*10^9/3600)+D12</f>
        <v>28.242161514339259</v>
      </c>
      <c r="E14" s="22">
        <f t="shared" si="0"/>
        <v>1874.2293342044622</v>
      </c>
      <c r="F14" s="22"/>
      <c r="G14" s="22">
        <f t="shared" si="0"/>
        <v>551575.66589382733</v>
      </c>
      <c r="H14" s="22">
        <f t="shared" si="0"/>
        <v>64886.561514919966</v>
      </c>
      <c r="I14" s="22"/>
      <c r="J14" s="22"/>
      <c r="K14" s="22"/>
      <c r="L14" s="22"/>
      <c r="M14" s="22">
        <f t="shared" si="0"/>
        <v>27530.133959392449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0.17274235553714051</v>
      </c>
      <c r="C16" s="57">
        <f ca="1">'EF ele_warmte'!B22</f>
        <v>0.19554376185958264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1.7487348427722693</v>
      </c>
      <c r="C18" s="24"/>
      <c r="D18" s="24">
        <f t="shared" ref="D18:M18" si="1">D14*D16</f>
        <v>5.7049166258965309</v>
      </c>
      <c r="E18" s="24">
        <f t="shared" si="1"/>
        <v>425.45005886441294</v>
      </c>
      <c r="F18" s="24"/>
      <c r="G18" s="24">
        <f t="shared" si="1"/>
        <v>147270.7027936519</v>
      </c>
      <c r="H18" s="24">
        <f t="shared" si="1"/>
        <v>16156.753817215071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1.454744509966624E-2</v>
      </c>
      <c r="H50" s="323">
        <f t="shared" si="2"/>
        <v>0</v>
      </c>
      <c r="I50" s="323">
        <f t="shared" si="2"/>
        <v>0</v>
      </c>
      <c r="J50" s="323">
        <f t="shared" si="2"/>
        <v>0</v>
      </c>
      <c r="K50" s="323">
        <f t="shared" si="2"/>
        <v>0</v>
      </c>
      <c r="L50" s="323">
        <f t="shared" si="2"/>
        <v>0</v>
      </c>
      <c r="M50" s="323">
        <f t="shared" si="2"/>
        <v>6.3880231183810715E-4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1.454744509966624E-2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6.3880231183810715E-4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4040.9569721295111</v>
      </c>
      <c r="H54" s="22">
        <f t="shared" si="3"/>
        <v>0</v>
      </c>
      <c r="I54" s="22">
        <f t="shared" si="3"/>
        <v>0</v>
      </c>
      <c r="J54" s="22">
        <f t="shared" si="3"/>
        <v>0</v>
      </c>
      <c r="K54" s="22">
        <f t="shared" si="3"/>
        <v>0</v>
      </c>
      <c r="L54" s="22">
        <f t="shared" si="3"/>
        <v>0</v>
      </c>
      <c r="M54" s="22">
        <f t="shared" si="3"/>
        <v>177.44508662169645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0.17274235553714051</v>
      </c>
      <c r="C56" s="57">
        <f ca="1">'EF ele_warmte'!B22</f>
        <v>0.19554376185958264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1078.9355115585795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27811.855772411498</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36900.289339971867</v>
      </c>
      <c r="C6" s="1190"/>
      <c r="D6" s="1193"/>
      <c r="E6" s="1193"/>
      <c r="F6" s="1196"/>
      <c r="G6" s="1199"/>
      <c r="H6" s="1187"/>
      <c r="I6" s="1193"/>
      <c r="J6" s="1193"/>
      <c r="K6" s="1193"/>
      <c r="L6" s="1223"/>
      <c r="M6" s="560"/>
      <c r="N6" s="1235"/>
      <c r="O6" s="1236"/>
      <c r="Q6" s="558"/>
      <c r="R6" s="1220"/>
      <c r="S6" s="1220"/>
    </row>
    <row r="7" spans="1:19" s="548" customFormat="1">
      <c r="A7" s="561" t="s">
        <v>252</v>
      </c>
      <c r="B7" s="562">
        <f>N57</f>
        <v>64281.599999999999</v>
      </c>
      <c r="C7" s="563">
        <f>B100</f>
        <v>62227.058823529427</v>
      </c>
      <c r="D7" s="564"/>
      <c r="E7" s="564">
        <f>E100</f>
        <v>0</v>
      </c>
      <c r="F7" s="565"/>
      <c r="G7" s="566"/>
      <c r="H7" s="564">
        <f>I100</f>
        <v>0</v>
      </c>
      <c r="I7" s="564">
        <f>G100+F100</f>
        <v>0</v>
      </c>
      <c r="J7" s="564">
        <f>H100+D100+C100</f>
        <v>13398.352941176474</v>
      </c>
      <c r="K7" s="564"/>
      <c r="L7" s="567"/>
      <c r="M7" s="568">
        <f>C7*$C$11+D7*$D$11+E7*$E$11+F7*$F$11+G7*$G$11+H7*$H$11+I7*$I$11+J7*$J$11</f>
        <v>12569.865882352946</v>
      </c>
      <c r="N7" s="1235"/>
      <c r="O7" s="1236"/>
      <c r="Q7" s="558"/>
      <c r="R7" s="1220"/>
      <c r="S7" s="1220"/>
    </row>
    <row r="8" spans="1:19" s="548" customFormat="1" ht="17.45" customHeight="1" thickBot="1">
      <c r="A8" s="569" t="s">
        <v>248</v>
      </c>
      <c r="B8" s="570">
        <f>N88+'Eigen informatie GS &amp; warmtenet'!B12</f>
        <v>2970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8485.7142857142862</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131963.74511238336</v>
      </c>
      <c r="C9" s="579">
        <f t="shared" ref="C9:L9" si="0">SUM(C7:C8)</f>
        <v>62227.058823529427</v>
      </c>
      <c r="D9" s="579">
        <f t="shared" si="0"/>
        <v>0</v>
      </c>
      <c r="E9" s="579">
        <f t="shared" si="0"/>
        <v>0</v>
      </c>
      <c r="F9" s="579">
        <f t="shared" si="0"/>
        <v>0</v>
      </c>
      <c r="G9" s="579">
        <f t="shared" si="0"/>
        <v>0</v>
      </c>
      <c r="H9" s="579">
        <f t="shared" si="0"/>
        <v>0</v>
      </c>
      <c r="I9" s="579">
        <f t="shared" si="0"/>
        <v>0</v>
      </c>
      <c r="J9" s="579">
        <f t="shared" si="0"/>
        <v>21884.067226890758</v>
      </c>
      <c r="K9" s="579">
        <f t="shared" si="0"/>
        <v>0</v>
      </c>
      <c r="L9" s="579">
        <f t="shared" si="0"/>
        <v>0</v>
      </c>
      <c r="M9" s="580">
        <f>SUM(M4:M8)</f>
        <v>12569.865882352946</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91830.857142857145</v>
      </c>
      <c r="C16" s="595">
        <f>B101</f>
        <v>88895.798319327747</v>
      </c>
      <c r="D16" s="596"/>
      <c r="E16" s="596">
        <f>E101</f>
        <v>0</v>
      </c>
      <c r="F16" s="597"/>
      <c r="G16" s="598"/>
      <c r="H16" s="595">
        <f>I101</f>
        <v>0</v>
      </c>
      <c r="I16" s="596">
        <f>G101+F101</f>
        <v>0</v>
      </c>
      <c r="J16" s="596">
        <f>H101+D101+C101</f>
        <v>19140.504201680676</v>
      </c>
      <c r="K16" s="596"/>
      <c r="L16" s="599"/>
      <c r="M16" s="600">
        <f>C16*$C$21+E16*$E$21+H16*$H$21+I16*$I$21+J16*$J$21+D16*$D$21+F16*$F$21+G16*$G$21+K16*$K$21+L16*$L$21</f>
        <v>17956.951260504207</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91830.857142857145</v>
      </c>
      <c r="C19" s="578">
        <f>SUM(C16:C18)</f>
        <v>88895.798319327747</v>
      </c>
      <c r="D19" s="578">
        <f t="shared" ref="D19:M19" si="1">SUM(D16:D18)</f>
        <v>0</v>
      </c>
      <c r="E19" s="578">
        <f t="shared" si="1"/>
        <v>0</v>
      </c>
      <c r="F19" s="578">
        <f t="shared" si="1"/>
        <v>0</v>
      </c>
      <c r="G19" s="578">
        <f t="shared" si="1"/>
        <v>0</v>
      </c>
      <c r="H19" s="578">
        <f t="shared" si="1"/>
        <v>0</v>
      </c>
      <c r="I19" s="578">
        <f t="shared" si="1"/>
        <v>0</v>
      </c>
      <c r="J19" s="578">
        <f t="shared" si="1"/>
        <v>19140.504201680676</v>
      </c>
      <c r="K19" s="578">
        <f t="shared" si="1"/>
        <v>0</v>
      </c>
      <c r="L19" s="578">
        <f t="shared" si="1"/>
        <v>0</v>
      </c>
      <c r="M19" s="605">
        <f t="shared" si="1"/>
        <v>17956.951260504207</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46003</v>
      </c>
      <c r="C27" s="840">
        <v>9120</v>
      </c>
      <c r="D27" s="657" t="s">
        <v>914</v>
      </c>
      <c r="E27" s="656" t="s">
        <v>915</v>
      </c>
      <c r="F27" s="656" t="s">
        <v>916</v>
      </c>
      <c r="G27" s="656" t="s">
        <v>917</v>
      </c>
      <c r="H27" s="656" t="s">
        <v>918</v>
      </c>
      <c r="I27" s="656" t="s">
        <v>915</v>
      </c>
      <c r="J27" s="839">
        <v>39377</v>
      </c>
      <c r="K27" s="839">
        <v>39380</v>
      </c>
      <c r="L27" s="656" t="s">
        <v>919</v>
      </c>
      <c r="M27" s="656">
        <v>1372</v>
      </c>
      <c r="N27" s="656">
        <v>6174.0000000000009</v>
      </c>
      <c r="O27" s="656">
        <v>8820.0000000000018</v>
      </c>
      <c r="P27" s="656">
        <v>17640.000000000004</v>
      </c>
      <c r="Q27" s="656">
        <v>0</v>
      </c>
      <c r="R27" s="656">
        <v>0</v>
      </c>
      <c r="S27" s="656">
        <v>0</v>
      </c>
      <c r="T27" s="656">
        <v>0</v>
      </c>
      <c r="U27" s="656">
        <v>0</v>
      </c>
      <c r="V27" s="656">
        <v>0</v>
      </c>
      <c r="W27" s="656"/>
      <c r="X27" s="656">
        <v>10</v>
      </c>
      <c r="Y27" s="656" t="s">
        <v>112</v>
      </c>
      <c r="Z27" s="658" t="s">
        <v>112</v>
      </c>
    </row>
    <row r="28" spans="1:26" s="610" customFormat="1" ht="25.5">
      <c r="A28" s="609"/>
      <c r="B28" s="840">
        <v>46003</v>
      </c>
      <c r="C28" s="840">
        <v>9120</v>
      </c>
      <c r="D28" s="657" t="s">
        <v>920</v>
      </c>
      <c r="E28" s="656" t="s">
        <v>921</v>
      </c>
      <c r="F28" s="656" t="s">
        <v>922</v>
      </c>
      <c r="G28" s="656" t="s">
        <v>917</v>
      </c>
      <c r="H28" s="656" t="s">
        <v>918</v>
      </c>
      <c r="I28" s="656" t="s">
        <v>921</v>
      </c>
      <c r="J28" s="839">
        <v>39568</v>
      </c>
      <c r="K28" s="839">
        <v>39568</v>
      </c>
      <c r="L28" s="656" t="s">
        <v>919</v>
      </c>
      <c r="M28" s="656">
        <v>2731</v>
      </c>
      <c r="N28" s="656">
        <v>12289.5</v>
      </c>
      <c r="O28" s="656">
        <v>17556.428571428572</v>
      </c>
      <c r="P28" s="656">
        <v>35112.857142857145</v>
      </c>
      <c r="Q28" s="656">
        <v>0</v>
      </c>
      <c r="R28" s="656">
        <v>0</v>
      </c>
      <c r="S28" s="656">
        <v>0</v>
      </c>
      <c r="T28" s="656">
        <v>0</v>
      </c>
      <c r="U28" s="656">
        <v>0</v>
      </c>
      <c r="V28" s="656">
        <v>0</v>
      </c>
      <c r="W28" s="656"/>
      <c r="X28" s="656">
        <v>10</v>
      </c>
      <c r="Y28" s="656" t="s">
        <v>112</v>
      </c>
      <c r="Z28" s="658" t="s">
        <v>112</v>
      </c>
    </row>
    <row r="29" spans="1:26" s="610" customFormat="1" ht="25.5">
      <c r="A29" s="609"/>
      <c r="B29" s="840">
        <v>46003</v>
      </c>
      <c r="C29" s="840">
        <v>9120</v>
      </c>
      <c r="D29" s="657" t="s">
        <v>923</v>
      </c>
      <c r="E29" s="656" t="s">
        <v>924</v>
      </c>
      <c r="F29" s="656" t="s">
        <v>925</v>
      </c>
      <c r="G29" s="656" t="s">
        <v>917</v>
      </c>
      <c r="H29" s="656" t="s">
        <v>918</v>
      </c>
      <c r="I29" s="656" t="s">
        <v>924</v>
      </c>
      <c r="J29" s="839">
        <v>39737</v>
      </c>
      <c r="K29" s="839">
        <v>39737</v>
      </c>
      <c r="L29" s="656" t="s">
        <v>919</v>
      </c>
      <c r="M29" s="656">
        <v>1562</v>
      </c>
      <c r="N29" s="656">
        <v>7029</v>
      </c>
      <c r="O29" s="656">
        <v>10041.428571428572</v>
      </c>
      <c r="P29" s="656">
        <v>20082.857142857145</v>
      </c>
      <c r="Q29" s="656">
        <v>0</v>
      </c>
      <c r="R29" s="656">
        <v>0</v>
      </c>
      <c r="S29" s="656">
        <v>0</v>
      </c>
      <c r="T29" s="656">
        <v>0</v>
      </c>
      <c r="U29" s="656">
        <v>0</v>
      </c>
      <c r="V29" s="656">
        <v>0</v>
      </c>
      <c r="W29" s="656"/>
      <c r="X29" s="656">
        <v>10</v>
      </c>
      <c r="Y29" s="656" t="s">
        <v>112</v>
      </c>
      <c r="Z29" s="658" t="s">
        <v>112</v>
      </c>
    </row>
    <row r="30" spans="1:26" s="610" customFormat="1" ht="25.5">
      <c r="A30" s="609"/>
      <c r="B30" s="840">
        <v>46003</v>
      </c>
      <c r="C30" s="840">
        <v>9210</v>
      </c>
      <c r="D30" s="657" t="s">
        <v>926</v>
      </c>
      <c r="E30" s="656" t="s">
        <v>927</v>
      </c>
      <c r="F30" s="656" t="s">
        <v>928</v>
      </c>
      <c r="G30" s="656" t="s">
        <v>917</v>
      </c>
      <c r="H30" s="656" t="s">
        <v>918</v>
      </c>
      <c r="I30" s="656" t="s">
        <v>929</v>
      </c>
      <c r="J30" s="839">
        <v>40333</v>
      </c>
      <c r="K30" s="839">
        <v>40345</v>
      </c>
      <c r="L30" s="656" t="s">
        <v>919</v>
      </c>
      <c r="M30" s="656">
        <v>1994</v>
      </c>
      <c r="N30" s="656">
        <v>8973</v>
      </c>
      <c r="O30" s="656">
        <v>12818.571428571429</v>
      </c>
      <c r="P30" s="656">
        <v>25637.142857142859</v>
      </c>
      <c r="Q30" s="656">
        <v>0</v>
      </c>
      <c r="R30" s="656">
        <v>0</v>
      </c>
      <c r="S30" s="656">
        <v>0</v>
      </c>
      <c r="T30" s="656">
        <v>0</v>
      </c>
      <c r="U30" s="656">
        <v>0</v>
      </c>
      <c r="V30" s="656">
        <v>0</v>
      </c>
      <c r="W30" s="656"/>
      <c r="X30" s="656">
        <v>10</v>
      </c>
      <c r="Y30" s="656" t="s">
        <v>112</v>
      </c>
      <c r="Z30" s="658" t="s">
        <v>112</v>
      </c>
    </row>
    <row r="31" spans="1:26" s="610" customFormat="1" ht="25.5">
      <c r="A31" s="609"/>
      <c r="B31" s="840">
        <v>46003</v>
      </c>
      <c r="C31" s="840">
        <v>9120</v>
      </c>
      <c r="D31" s="657" t="s">
        <v>930</v>
      </c>
      <c r="E31" s="656" t="s">
        <v>931</v>
      </c>
      <c r="F31" s="656" t="s">
        <v>932</v>
      </c>
      <c r="G31" s="656" t="s">
        <v>917</v>
      </c>
      <c r="H31" s="656" t="s">
        <v>918</v>
      </c>
      <c r="I31" s="656" t="s">
        <v>931</v>
      </c>
      <c r="J31" s="839">
        <v>40819</v>
      </c>
      <c r="K31" s="839">
        <v>40834</v>
      </c>
      <c r="L31" s="656" t="s">
        <v>919</v>
      </c>
      <c r="M31" s="656">
        <v>197</v>
      </c>
      <c r="N31" s="656">
        <v>886.5</v>
      </c>
      <c r="O31" s="656">
        <v>1266.4285714285716</v>
      </c>
      <c r="P31" s="656">
        <v>2532.8571428571431</v>
      </c>
      <c r="Q31" s="656">
        <v>0</v>
      </c>
      <c r="R31" s="656">
        <v>0</v>
      </c>
      <c r="S31" s="656">
        <v>0</v>
      </c>
      <c r="T31" s="656">
        <v>0</v>
      </c>
      <c r="U31" s="656">
        <v>0</v>
      </c>
      <c r="V31" s="656">
        <v>0</v>
      </c>
      <c r="W31" s="656"/>
      <c r="X31" s="656">
        <v>1200</v>
      </c>
      <c r="Y31" s="656" t="s">
        <v>53</v>
      </c>
      <c r="Z31" s="658" t="s">
        <v>156</v>
      </c>
    </row>
    <row r="32" spans="1:26" s="610" customFormat="1" ht="25.5">
      <c r="A32" s="609"/>
      <c r="B32" s="840">
        <v>46003</v>
      </c>
      <c r="C32" s="840">
        <v>9120</v>
      </c>
      <c r="D32" s="657" t="s">
        <v>933</v>
      </c>
      <c r="E32" s="656" t="s">
        <v>934</v>
      </c>
      <c r="F32" s="656" t="s">
        <v>935</v>
      </c>
      <c r="G32" s="656" t="s">
        <v>917</v>
      </c>
      <c r="H32" s="656" t="s">
        <v>918</v>
      </c>
      <c r="I32" s="656" t="s">
        <v>934</v>
      </c>
      <c r="J32" s="839">
        <v>40927</v>
      </c>
      <c r="K32" s="839">
        <v>39841</v>
      </c>
      <c r="L32" s="656" t="s">
        <v>919</v>
      </c>
      <c r="M32" s="656">
        <v>2233</v>
      </c>
      <c r="N32" s="656">
        <v>10048.5</v>
      </c>
      <c r="O32" s="656">
        <v>14355</v>
      </c>
      <c r="P32" s="656">
        <v>0</v>
      </c>
      <c r="Q32" s="656">
        <v>28710.000000000004</v>
      </c>
      <c r="R32" s="656">
        <v>0</v>
      </c>
      <c r="S32" s="656">
        <v>0</v>
      </c>
      <c r="T32" s="656">
        <v>0</v>
      </c>
      <c r="U32" s="656">
        <v>0</v>
      </c>
      <c r="V32" s="656">
        <v>0</v>
      </c>
      <c r="W32" s="656"/>
      <c r="X32" s="656">
        <v>10</v>
      </c>
      <c r="Y32" s="656" t="s">
        <v>112</v>
      </c>
      <c r="Z32" s="658" t="s">
        <v>112</v>
      </c>
    </row>
    <row r="33" spans="1:26" s="610" customFormat="1" ht="25.5">
      <c r="A33" s="609"/>
      <c r="B33" s="840">
        <v>46003</v>
      </c>
      <c r="C33" s="840">
        <v>9120</v>
      </c>
      <c r="D33" s="657" t="s">
        <v>936</v>
      </c>
      <c r="E33" s="656" t="s">
        <v>937</v>
      </c>
      <c r="F33" s="656" t="s">
        <v>938</v>
      </c>
      <c r="G33" s="656" t="s">
        <v>917</v>
      </c>
      <c r="H33" s="656" t="s">
        <v>918</v>
      </c>
      <c r="I33" s="656" t="s">
        <v>937</v>
      </c>
      <c r="J33" s="839">
        <v>40954</v>
      </c>
      <c r="K33" s="839">
        <v>39990</v>
      </c>
      <c r="L33" s="656" t="s">
        <v>919</v>
      </c>
      <c r="M33" s="656">
        <v>3898</v>
      </c>
      <c r="N33" s="656">
        <v>17541</v>
      </c>
      <c r="O33" s="656">
        <v>25058.571428571428</v>
      </c>
      <c r="P33" s="656">
        <v>50117.142857142862</v>
      </c>
      <c r="Q33" s="656">
        <v>0</v>
      </c>
      <c r="R33" s="656">
        <v>0</v>
      </c>
      <c r="S33" s="656">
        <v>0</v>
      </c>
      <c r="T33" s="656">
        <v>0</v>
      </c>
      <c r="U33" s="656">
        <v>0</v>
      </c>
      <c r="V33" s="656">
        <v>0</v>
      </c>
      <c r="W33" s="656"/>
      <c r="X33" s="656">
        <v>10</v>
      </c>
      <c r="Y33" s="656" t="s">
        <v>112</v>
      </c>
      <c r="Z33" s="658" t="s">
        <v>112</v>
      </c>
    </row>
    <row r="34" spans="1:26" s="610" customFormat="1" ht="25.5">
      <c r="A34" s="609"/>
      <c r="B34" s="840">
        <v>46003</v>
      </c>
      <c r="C34" s="840">
        <v>9120</v>
      </c>
      <c r="D34" s="657" t="s">
        <v>939</v>
      </c>
      <c r="E34" s="656" t="s">
        <v>940</v>
      </c>
      <c r="F34" s="656" t="s">
        <v>941</v>
      </c>
      <c r="G34" s="656" t="s">
        <v>917</v>
      </c>
      <c r="H34" s="656" t="s">
        <v>918</v>
      </c>
      <c r="I34" s="656" t="s">
        <v>940</v>
      </c>
      <c r="J34" s="839">
        <v>41184</v>
      </c>
      <c r="K34" s="839">
        <v>41184</v>
      </c>
      <c r="L34" s="656" t="s">
        <v>919</v>
      </c>
      <c r="M34" s="656">
        <v>2978</v>
      </c>
      <c r="N34" s="656">
        <v>1340.1000000000001</v>
      </c>
      <c r="O34" s="656">
        <v>1914.4285714285716</v>
      </c>
      <c r="P34" s="656">
        <v>0</v>
      </c>
      <c r="Q34" s="656">
        <v>3828.8571428571436</v>
      </c>
      <c r="R34" s="656">
        <v>0</v>
      </c>
      <c r="S34" s="656">
        <v>0</v>
      </c>
      <c r="T34" s="656">
        <v>0</v>
      </c>
      <c r="U34" s="656">
        <v>0</v>
      </c>
      <c r="V34" s="656">
        <v>0</v>
      </c>
      <c r="W34" s="656"/>
      <c r="X34" s="656">
        <v>10</v>
      </c>
      <c r="Y34" s="656" t="s">
        <v>112</v>
      </c>
      <c r="Z34" s="658" t="s">
        <v>112</v>
      </c>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16965</v>
      </c>
      <c r="N57" s="614">
        <f>SUM(N27:N56)</f>
        <v>64281.599999999999</v>
      </c>
      <c r="O57" s="614">
        <f t="shared" ref="O57:W57" si="2">SUM(O27:O56)</f>
        <v>91830.857142857145</v>
      </c>
      <c r="P57" s="614">
        <f t="shared" si="2"/>
        <v>151122.85714285716</v>
      </c>
      <c r="Q57" s="614">
        <f t="shared" si="2"/>
        <v>32538.857142857149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197</v>
      </c>
      <c r="N59" s="614">
        <f ca="1">SUMIF($Z$27:AB56,"tertiair",N27:N56)</f>
        <v>886.5</v>
      </c>
      <c r="O59" s="614">
        <f ca="1">SUMIF($Z$27:AC56,"tertiair",O27:O56)</f>
        <v>1266.4285714285716</v>
      </c>
      <c r="P59" s="614">
        <f ca="1">SUMIF($Z$27:AD56,"tertiair",P27:P56)</f>
        <v>2532.8571428571431</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16768</v>
      </c>
      <c r="N60" s="619">
        <f t="shared" ref="N60:W60" si="4">SUMIF($Z$27:$Z$56,"landbouw",N27:N56)</f>
        <v>63395.1</v>
      </c>
      <c r="O60" s="619">
        <f t="shared" si="4"/>
        <v>90564.428571428565</v>
      </c>
      <c r="P60" s="619">
        <f t="shared" si="4"/>
        <v>148590</v>
      </c>
      <c r="Q60" s="619">
        <f t="shared" si="4"/>
        <v>32538.857142857149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25.5">
      <c r="A63" s="611"/>
      <c r="B63" s="840">
        <v>46003</v>
      </c>
      <c r="C63" s="840">
        <v>9130</v>
      </c>
      <c r="D63" s="659" t="s">
        <v>942</v>
      </c>
      <c r="E63" s="659" t="s">
        <v>943</v>
      </c>
      <c r="F63" s="659" t="s">
        <v>944</v>
      </c>
      <c r="G63" s="659" t="s">
        <v>945</v>
      </c>
      <c r="H63" s="659" t="s">
        <v>946</v>
      </c>
      <c r="I63" s="659" t="s">
        <v>947</v>
      </c>
      <c r="J63" s="839">
        <v>37067</v>
      </c>
      <c r="K63" s="839">
        <v>37288</v>
      </c>
      <c r="L63" s="659" t="s">
        <v>948</v>
      </c>
      <c r="M63" s="659">
        <v>660</v>
      </c>
      <c r="N63" s="659">
        <v>2970</v>
      </c>
      <c r="O63" s="659">
        <v>0</v>
      </c>
      <c r="P63" s="659">
        <v>0</v>
      </c>
      <c r="Q63" s="659">
        <v>8485.7142857142862</v>
      </c>
      <c r="R63" s="659">
        <v>0</v>
      </c>
      <c r="S63" s="659">
        <v>0</v>
      </c>
      <c r="T63" s="659">
        <v>0</v>
      </c>
      <c r="U63" s="659">
        <v>0</v>
      </c>
      <c r="V63" s="659">
        <v>0</v>
      </c>
      <c r="W63" s="659"/>
      <c r="X63" s="659">
        <v>500</v>
      </c>
      <c r="Y63" s="659" t="s">
        <v>41</v>
      </c>
      <c r="Z63" s="660" t="s">
        <v>391</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660</v>
      </c>
      <c r="N88" s="614">
        <f t="shared" ref="N88:W88" si="5">SUM(N63:N87)</f>
        <v>2970</v>
      </c>
      <c r="O88" s="614">
        <f t="shared" si="5"/>
        <v>0</v>
      </c>
      <c r="P88" s="614">
        <f t="shared" si="5"/>
        <v>0</v>
      </c>
      <c r="Q88" s="614">
        <f t="shared" si="5"/>
        <v>8485.7142857142862</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660</v>
      </c>
      <c r="N89" s="614">
        <f t="shared" ref="N89:W89" si="6">SUMIF($Z$63:$Z$87,"industrie",N63:N87)</f>
        <v>2970</v>
      </c>
      <c r="O89" s="614">
        <f t="shared" si="6"/>
        <v>0</v>
      </c>
      <c r="P89" s="614">
        <f t="shared" si="6"/>
        <v>0</v>
      </c>
      <c r="Q89" s="614">
        <f t="shared" si="6"/>
        <v>8485.7142857142862</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62227.058823529427</v>
      </c>
      <c r="C100" s="648">
        <f t="shared" si="9"/>
        <v>13398.352941176474</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88895.798319327747</v>
      </c>
      <c r="C101" s="651">
        <f t="shared" ref="C101:H101" si="10">$B$97*Q57</f>
        <v>19140.504201680676</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138688.14021000543</v>
      </c>
      <c r="D10" s="703">
        <f ca="1">tertiair!C16</f>
        <v>1266.4285714285716</v>
      </c>
      <c r="E10" s="703">
        <f ca="1">tertiair!D16</f>
        <v>64154.87817755471</v>
      </c>
      <c r="F10" s="703">
        <f>tertiair!E16</f>
        <v>684.77028136314607</v>
      </c>
      <c r="G10" s="703">
        <f ca="1">tertiair!F16</f>
        <v>21270.094719853227</v>
      </c>
      <c r="H10" s="703">
        <f>tertiair!G16</f>
        <v>0</v>
      </c>
      <c r="I10" s="703">
        <f>tertiair!H16</f>
        <v>0</v>
      </c>
      <c r="J10" s="703">
        <f>tertiair!I16</f>
        <v>0</v>
      </c>
      <c r="K10" s="703">
        <f>tertiair!J16</f>
        <v>0</v>
      </c>
      <c r="L10" s="703">
        <f>tertiair!K16</f>
        <v>0</v>
      </c>
      <c r="M10" s="703">
        <f ca="1">tertiair!L16</f>
        <v>0</v>
      </c>
      <c r="N10" s="703">
        <f>tertiair!M16</f>
        <v>0</v>
      </c>
      <c r="O10" s="703">
        <f ca="1">tertiair!N16</f>
        <v>5317.7274455560137</v>
      </c>
      <c r="P10" s="703">
        <f>tertiair!O16</f>
        <v>0</v>
      </c>
      <c r="Q10" s="704">
        <f>tertiair!P16</f>
        <v>0</v>
      </c>
      <c r="R10" s="706">
        <f ca="1">SUM(C10:Q10)</f>
        <v>231382.03940576111</v>
      </c>
      <c r="S10" s="68"/>
    </row>
    <row r="11" spans="1:19" s="458" customFormat="1">
      <c r="A11" s="859" t="s">
        <v>225</v>
      </c>
      <c r="B11" s="864"/>
      <c r="C11" s="703">
        <f>huishoudens!B8</f>
        <v>98833.757035251969</v>
      </c>
      <c r="D11" s="703">
        <f>huishoudens!C8</f>
        <v>0</v>
      </c>
      <c r="E11" s="703">
        <f>huishoudens!D8</f>
        <v>213885.26822750521</v>
      </c>
      <c r="F11" s="703">
        <f>huishoudens!E8</f>
        <v>4623.9194824246742</v>
      </c>
      <c r="G11" s="703">
        <f>huishoudens!F8</f>
        <v>0</v>
      </c>
      <c r="H11" s="703">
        <f>huishoudens!G8</f>
        <v>0</v>
      </c>
      <c r="I11" s="703">
        <f>huishoudens!H8</f>
        <v>0</v>
      </c>
      <c r="J11" s="703">
        <f>huishoudens!I8</f>
        <v>0</v>
      </c>
      <c r="K11" s="703">
        <f>huishoudens!J8</f>
        <v>7068.7722160182584</v>
      </c>
      <c r="L11" s="703">
        <f>huishoudens!K8</f>
        <v>0</v>
      </c>
      <c r="M11" s="703">
        <f>huishoudens!L8</f>
        <v>0</v>
      </c>
      <c r="N11" s="703">
        <f>huishoudens!M8</f>
        <v>0</v>
      </c>
      <c r="O11" s="703">
        <f>huishoudens!N8</f>
        <v>35678.003120385903</v>
      </c>
      <c r="P11" s="703">
        <f>huishoudens!O8</f>
        <v>637.84</v>
      </c>
      <c r="Q11" s="704">
        <f>huishoudens!P8</f>
        <v>667.33333333333337</v>
      </c>
      <c r="R11" s="706">
        <f>SUM(C11:Q11)</f>
        <v>361394.89341491938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96710.710850076852</v>
      </c>
      <c r="D13" s="703">
        <f>industrie!C18</f>
        <v>0</v>
      </c>
      <c r="E13" s="703">
        <f>industrie!D18</f>
        <v>29849.089845671027</v>
      </c>
      <c r="F13" s="703">
        <f>industrie!E18</f>
        <v>804.79228597309998</v>
      </c>
      <c r="G13" s="703">
        <f>industrie!F18</f>
        <v>19062.642520896534</v>
      </c>
      <c r="H13" s="703">
        <f>industrie!G18</f>
        <v>0</v>
      </c>
      <c r="I13" s="703">
        <f>industrie!H18</f>
        <v>0</v>
      </c>
      <c r="J13" s="703">
        <f>industrie!I18</f>
        <v>0</v>
      </c>
      <c r="K13" s="703">
        <f>industrie!J18</f>
        <v>355.84819482120571</v>
      </c>
      <c r="L13" s="703">
        <f>industrie!K18</f>
        <v>0</v>
      </c>
      <c r="M13" s="703">
        <f>industrie!L18</f>
        <v>0</v>
      </c>
      <c r="N13" s="703">
        <f>industrie!M18</f>
        <v>0</v>
      </c>
      <c r="O13" s="703">
        <f>industrie!N18</f>
        <v>0</v>
      </c>
      <c r="P13" s="703">
        <f>industrie!O18</f>
        <v>0</v>
      </c>
      <c r="Q13" s="704">
        <f>industrie!P18</f>
        <v>0</v>
      </c>
      <c r="R13" s="706">
        <f>SUM(C13:Q13)</f>
        <v>146783.08369743873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334232.60809533426</v>
      </c>
      <c r="D15" s="708">
        <f t="shared" ref="D15:Q15" ca="1" si="0">SUM(D9:D14)</f>
        <v>1266.4285714285716</v>
      </c>
      <c r="E15" s="708">
        <f t="shared" ca="1" si="0"/>
        <v>307889.23625073093</v>
      </c>
      <c r="F15" s="708">
        <f t="shared" si="0"/>
        <v>6113.4820497609198</v>
      </c>
      <c r="G15" s="708">
        <f t="shared" ca="1" si="0"/>
        <v>40332.737240749761</v>
      </c>
      <c r="H15" s="708">
        <f t="shared" si="0"/>
        <v>0</v>
      </c>
      <c r="I15" s="708">
        <f t="shared" si="0"/>
        <v>0</v>
      </c>
      <c r="J15" s="708">
        <f t="shared" si="0"/>
        <v>0</v>
      </c>
      <c r="K15" s="708">
        <f t="shared" si="0"/>
        <v>7424.6204108394641</v>
      </c>
      <c r="L15" s="708">
        <f t="shared" si="0"/>
        <v>0</v>
      </c>
      <c r="M15" s="708">
        <f t="shared" ca="1" si="0"/>
        <v>0</v>
      </c>
      <c r="N15" s="708">
        <f t="shared" si="0"/>
        <v>0</v>
      </c>
      <c r="O15" s="708">
        <f t="shared" ca="1" si="0"/>
        <v>40995.730565941914</v>
      </c>
      <c r="P15" s="708">
        <f t="shared" si="0"/>
        <v>637.84</v>
      </c>
      <c r="Q15" s="709">
        <f t="shared" si="0"/>
        <v>667.33333333333337</v>
      </c>
      <c r="R15" s="710">
        <f ca="1">SUM(R9:R14)</f>
        <v>739560.01651811926</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4040.9569721295111</v>
      </c>
      <c r="I18" s="703">
        <f>transport!H54</f>
        <v>0</v>
      </c>
      <c r="J18" s="703">
        <f>transport!I54</f>
        <v>0</v>
      </c>
      <c r="K18" s="703">
        <f>transport!J54</f>
        <v>0</v>
      </c>
      <c r="L18" s="703">
        <f>transport!K54</f>
        <v>0</v>
      </c>
      <c r="M18" s="703">
        <f>transport!L54</f>
        <v>0</v>
      </c>
      <c r="N18" s="703">
        <f>transport!M54</f>
        <v>177.44508662169645</v>
      </c>
      <c r="O18" s="703">
        <f>transport!N54</f>
        <v>0</v>
      </c>
      <c r="P18" s="703">
        <f>transport!O54</f>
        <v>0</v>
      </c>
      <c r="Q18" s="704">
        <f>transport!P54</f>
        <v>0</v>
      </c>
      <c r="R18" s="706">
        <f>SUM(C18:Q18)</f>
        <v>4218.4020587512077</v>
      </c>
      <c r="S18" s="68"/>
    </row>
    <row r="19" spans="1:19" s="458" customFormat="1" ht="15" thickBot="1">
      <c r="A19" s="859" t="s">
        <v>307</v>
      </c>
      <c r="B19" s="864"/>
      <c r="C19" s="712">
        <f>transport!B14</f>
        <v>10.123370364694848</v>
      </c>
      <c r="D19" s="712">
        <f>transport!C14</f>
        <v>0</v>
      </c>
      <c r="E19" s="712">
        <f>transport!D14</f>
        <v>28.242161514339259</v>
      </c>
      <c r="F19" s="712">
        <f>transport!E14</f>
        <v>1874.2293342044622</v>
      </c>
      <c r="G19" s="712">
        <f>transport!F14</f>
        <v>0</v>
      </c>
      <c r="H19" s="712">
        <f>transport!G14</f>
        <v>551575.66589382733</v>
      </c>
      <c r="I19" s="712">
        <f>transport!H14</f>
        <v>64886.561514919966</v>
      </c>
      <c r="J19" s="712">
        <f>transport!I14</f>
        <v>0</v>
      </c>
      <c r="K19" s="712">
        <f>transport!J14</f>
        <v>0</v>
      </c>
      <c r="L19" s="712">
        <f>transport!K14</f>
        <v>0</v>
      </c>
      <c r="M19" s="712">
        <f>transport!L14</f>
        <v>0</v>
      </c>
      <c r="N19" s="712">
        <f>transport!M14</f>
        <v>27530.133959392449</v>
      </c>
      <c r="O19" s="712">
        <f>transport!N14</f>
        <v>0</v>
      </c>
      <c r="P19" s="712">
        <f>transport!O14</f>
        <v>0</v>
      </c>
      <c r="Q19" s="713">
        <f>transport!P14</f>
        <v>0</v>
      </c>
      <c r="R19" s="714">
        <f>SUM(C19:Q19)</f>
        <v>645904.95623422321</v>
      </c>
      <c r="S19" s="68"/>
    </row>
    <row r="20" spans="1:19" s="458" customFormat="1" ht="15.75" thickBot="1">
      <c r="A20" s="715" t="s">
        <v>230</v>
      </c>
      <c r="B20" s="867"/>
      <c r="C20" s="862">
        <f>SUM(C17:C19)</f>
        <v>10.123370364694848</v>
      </c>
      <c r="D20" s="716">
        <f t="shared" ref="D20:R20" si="1">SUM(D17:D19)</f>
        <v>0</v>
      </c>
      <c r="E20" s="716">
        <f t="shared" si="1"/>
        <v>28.242161514339259</v>
      </c>
      <c r="F20" s="716">
        <f t="shared" si="1"/>
        <v>1874.2293342044622</v>
      </c>
      <c r="G20" s="716">
        <f t="shared" si="1"/>
        <v>0</v>
      </c>
      <c r="H20" s="716">
        <f t="shared" si="1"/>
        <v>555616.62286595686</v>
      </c>
      <c r="I20" s="716">
        <f t="shared" si="1"/>
        <v>64886.561514919966</v>
      </c>
      <c r="J20" s="716">
        <f t="shared" si="1"/>
        <v>0</v>
      </c>
      <c r="K20" s="716">
        <f t="shared" si="1"/>
        <v>0</v>
      </c>
      <c r="L20" s="716">
        <f t="shared" si="1"/>
        <v>0</v>
      </c>
      <c r="M20" s="716">
        <f t="shared" si="1"/>
        <v>0</v>
      </c>
      <c r="N20" s="716">
        <f t="shared" si="1"/>
        <v>27707.579046014147</v>
      </c>
      <c r="O20" s="716">
        <f t="shared" si="1"/>
        <v>0</v>
      </c>
      <c r="P20" s="716">
        <f t="shared" si="1"/>
        <v>0</v>
      </c>
      <c r="Q20" s="717">
        <f t="shared" si="1"/>
        <v>0</v>
      </c>
      <c r="R20" s="718">
        <f t="shared" si="1"/>
        <v>650123.35829297442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9622.4109834957871</v>
      </c>
      <c r="D22" s="712">
        <f>+landbouw!C8</f>
        <v>90564.428571428565</v>
      </c>
      <c r="E22" s="712">
        <f>+landbouw!D8</f>
        <v>0</v>
      </c>
      <c r="F22" s="712">
        <f>+landbouw!E8</f>
        <v>90.64955869137826</v>
      </c>
      <c r="G22" s="712">
        <f>+landbouw!F8</f>
        <v>31401.120436897567</v>
      </c>
      <c r="H22" s="712">
        <f>+landbouw!G8</f>
        <v>0</v>
      </c>
      <c r="I22" s="712">
        <f>+landbouw!H8</f>
        <v>0</v>
      </c>
      <c r="J22" s="712">
        <f>+landbouw!I8</f>
        <v>0</v>
      </c>
      <c r="K22" s="712">
        <f>+landbouw!J8</f>
        <v>1190.3390420564619</v>
      </c>
      <c r="L22" s="712">
        <f>+landbouw!K8</f>
        <v>0</v>
      </c>
      <c r="M22" s="712">
        <f>+landbouw!L8</f>
        <v>0</v>
      </c>
      <c r="N22" s="712">
        <f>+landbouw!M8</f>
        <v>0</v>
      </c>
      <c r="O22" s="712">
        <f>+landbouw!N8</f>
        <v>0</v>
      </c>
      <c r="P22" s="712">
        <f>+landbouw!O8</f>
        <v>0</v>
      </c>
      <c r="Q22" s="713">
        <f>+landbouw!P8</f>
        <v>0</v>
      </c>
      <c r="R22" s="714">
        <f>SUM(C22:Q22)</f>
        <v>132868.94859256977</v>
      </c>
      <c r="S22" s="68"/>
    </row>
    <row r="23" spans="1:19" s="458" customFormat="1" ht="17.25" thickTop="1" thickBot="1">
      <c r="A23" s="719" t="s">
        <v>116</v>
      </c>
      <c r="B23" s="853"/>
      <c r="C23" s="720">
        <f ca="1">C20+C15+C22</f>
        <v>343865.14244919474</v>
      </c>
      <c r="D23" s="720">
        <f t="shared" ref="D23:Q23" ca="1" si="2">D20+D15+D22</f>
        <v>91830.85714285713</v>
      </c>
      <c r="E23" s="720">
        <f t="shared" ca="1" si="2"/>
        <v>307917.47841224528</v>
      </c>
      <c r="F23" s="720">
        <f t="shared" si="2"/>
        <v>8078.36094265676</v>
      </c>
      <c r="G23" s="720">
        <f t="shared" ca="1" si="2"/>
        <v>71733.85767764732</v>
      </c>
      <c r="H23" s="720">
        <f t="shared" si="2"/>
        <v>555616.62286595686</v>
      </c>
      <c r="I23" s="720">
        <f t="shared" si="2"/>
        <v>64886.561514919966</v>
      </c>
      <c r="J23" s="720">
        <f t="shared" si="2"/>
        <v>0</v>
      </c>
      <c r="K23" s="720">
        <f t="shared" si="2"/>
        <v>8614.959452895926</v>
      </c>
      <c r="L23" s="720">
        <f t="shared" si="2"/>
        <v>0</v>
      </c>
      <c r="M23" s="720">
        <f t="shared" ca="1" si="2"/>
        <v>0</v>
      </c>
      <c r="N23" s="720">
        <f t="shared" si="2"/>
        <v>27707.579046014147</v>
      </c>
      <c r="O23" s="720">
        <f t="shared" ca="1" si="2"/>
        <v>40995.730565941914</v>
      </c>
      <c r="P23" s="720">
        <f t="shared" si="2"/>
        <v>637.84</v>
      </c>
      <c r="Q23" s="721">
        <f t="shared" si="2"/>
        <v>667.33333333333337</v>
      </c>
      <c r="R23" s="722">
        <f ca="1">R20+R15+R22</f>
        <v>1522552.3234036635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23957.316024941549</v>
      </c>
      <c r="D36" s="703">
        <f ca="1">tertiair!C20</f>
        <v>247.64220698360003</v>
      </c>
      <c r="E36" s="703">
        <f ca="1">tertiair!D20</f>
        <v>12959.285391866053</v>
      </c>
      <c r="F36" s="703">
        <f>tertiair!E20</f>
        <v>155.44285386943417</v>
      </c>
      <c r="G36" s="703">
        <f ca="1">tertiair!F20</f>
        <v>5679.1152902008116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42998.801767861449</v>
      </c>
    </row>
    <row r="37" spans="1:18">
      <c r="A37" s="874" t="s">
        <v>225</v>
      </c>
      <c r="B37" s="881"/>
      <c r="C37" s="703">
        <f ca="1">huishoudens!B12</f>
        <v>17072.77599685486</v>
      </c>
      <c r="D37" s="703">
        <f ca="1">huishoudens!C12</f>
        <v>0</v>
      </c>
      <c r="E37" s="703">
        <f>huishoudens!D12</f>
        <v>43204.824181956057</v>
      </c>
      <c r="F37" s="703">
        <f>huishoudens!E12</f>
        <v>1049.6297225104011</v>
      </c>
      <c r="G37" s="703">
        <f>huishoudens!F12</f>
        <v>0</v>
      </c>
      <c r="H37" s="703">
        <f>huishoudens!G12</f>
        <v>0</v>
      </c>
      <c r="I37" s="703">
        <f>huishoudens!H12</f>
        <v>0</v>
      </c>
      <c r="J37" s="703">
        <f>huishoudens!I12</f>
        <v>0</v>
      </c>
      <c r="K37" s="703">
        <f>huishoudens!J12</f>
        <v>2502.3453644704632</v>
      </c>
      <c r="L37" s="703">
        <f>huishoudens!K12</f>
        <v>0</v>
      </c>
      <c r="M37" s="703">
        <f>huishoudens!L12</f>
        <v>0</v>
      </c>
      <c r="N37" s="703">
        <f>huishoudens!M12</f>
        <v>0</v>
      </c>
      <c r="O37" s="703">
        <f>huishoudens!N12</f>
        <v>0</v>
      </c>
      <c r="P37" s="703">
        <f>huishoudens!O12</f>
        <v>0</v>
      </c>
      <c r="Q37" s="813">
        <f>huishoudens!P12</f>
        <v>0</v>
      </c>
      <c r="R37" s="906">
        <f ca="1">SUM(C37:Q37)</f>
        <v>63829.575265791776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16706.035997913568</v>
      </c>
      <c r="D39" s="703">
        <f ca="1">industrie!C22</f>
        <v>0</v>
      </c>
      <c r="E39" s="703">
        <f>industrie!D22</f>
        <v>6029.516148825548</v>
      </c>
      <c r="F39" s="703">
        <f>industrie!E22</f>
        <v>182.68784891589371</v>
      </c>
      <c r="G39" s="703">
        <f>industrie!F22</f>
        <v>5089.7255530793745</v>
      </c>
      <c r="H39" s="703">
        <f>industrie!G22</f>
        <v>0</v>
      </c>
      <c r="I39" s="703">
        <f>industrie!H22</f>
        <v>0</v>
      </c>
      <c r="J39" s="703">
        <f>industrie!I22</f>
        <v>0</v>
      </c>
      <c r="K39" s="703">
        <f>industrie!J22</f>
        <v>125.97026096670682</v>
      </c>
      <c r="L39" s="703">
        <f>industrie!K22</f>
        <v>0</v>
      </c>
      <c r="M39" s="703">
        <f>industrie!L22</f>
        <v>0</v>
      </c>
      <c r="N39" s="703">
        <f>industrie!M22</f>
        <v>0</v>
      </c>
      <c r="O39" s="703">
        <f>industrie!N22</f>
        <v>0</v>
      </c>
      <c r="P39" s="703">
        <f>industrie!O22</f>
        <v>0</v>
      </c>
      <c r="Q39" s="813">
        <f>industrie!P22</f>
        <v>0</v>
      </c>
      <c r="R39" s="907">
        <f ca="1">SUM(C39:Q39)</f>
        <v>28133.935809701092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57736.128019709977</v>
      </c>
      <c r="D41" s="748">
        <f t="shared" ref="D41:R41" ca="1" si="4">SUM(D35:D40)</f>
        <v>247.64220698360003</v>
      </c>
      <c r="E41" s="748">
        <f t="shared" ca="1" si="4"/>
        <v>62193.625722647659</v>
      </c>
      <c r="F41" s="748">
        <f t="shared" si="4"/>
        <v>1387.760425295729</v>
      </c>
      <c r="G41" s="748">
        <f t="shared" ca="1" si="4"/>
        <v>10768.840843280186</v>
      </c>
      <c r="H41" s="748">
        <f t="shared" si="4"/>
        <v>0</v>
      </c>
      <c r="I41" s="748">
        <f t="shared" si="4"/>
        <v>0</v>
      </c>
      <c r="J41" s="748">
        <f t="shared" si="4"/>
        <v>0</v>
      </c>
      <c r="K41" s="748">
        <f t="shared" si="4"/>
        <v>2628.3156254371702</v>
      </c>
      <c r="L41" s="748">
        <f t="shared" si="4"/>
        <v>0</v>
      </c>
      <c r="M41" s="748">
        <f t="shared" ca="1" si="4"/>
        <v>0</v>
      </c>
      <c r="N41" s="748">
        <f t="shared" si="4"/>
        <v>0</v>
      </c>
      <c r="O41" s="748">
        <f t="shared" ca="1" si="4"/>
        <v>0</v>
      </c>
      <c r="P41" s="748">
        <f t="shared" si="4"/>
        <v>0</v>
      </c>
      <c r="Q41" s="749">
        <f t="shared" si="4"/>
        <v>0</v>
      </c>
      <c r="R41" s="750">
        <f t="shared" ca="1" si="4"/>
        <v>134962.31284335433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1078.9355115585795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1078.9355115585795</v>
      </c>
    </row>
    <row r="45" spans="1:18" ht="15" thickBot="1">
      <c r="A45" s="877" t="s">
        <v>307</v>
      </c>
      <c r="B45" s="887"/>
      <c r="C45" s="712">
        <f ca="1">transport!B18</f>
        <v>1.7487348427722693</v>
      </c>
      <c r="D45" s="712">
        <f>transport!C18</f>
        <v>0</v>
      </c>
      <c r="E45" s="712">
        <f>transport!D18</f>
        <v>5.7049166258965309</v>
      </c>
      <c r="F45" s="712">
        <f>transport!E18</f>
        <v>425.45005886441294</v>
      </c>
      <c r="G45" s="712">
        <f>transport!F18</f>
        <v>0</v>
      </c>
      <c r="H45" s="712">
        <f>transport!G18</f>
        <v>147270.7027936519</v>
      </c>
      <c r="I45" s="712">
        <f>transport!H18</f>
        <v>16156.753817215071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163860.36032120005</v>
      </c>
    </row>
    <row r="46" spans="1:18" ht="15.75" thickBot="1">
      <c r="A46" s="875" t="s">
        <v>230</v>
      </c>
      <c r="B46" s="888"/>
      <c r="C46" s="748">
        <f t="shared" ref="C46:R46" ca="1" si="5">SUM(C43:C45)</f>
        <v>1.7487348427722693</v>
      </c>
      <c r="D46" s="748">
        <f t="shared" ca="1" si="5"/>
        <v>0</v>
      </c>
      <c r="E46" s="748">
        <f t="shared" si="5"/>
        <v>5.7049166258965309</v>
      </c>
      <c r="F46" s="748">
        <f t="shared" si="5"/>
        <v>425.45005886441294</v>
      </c>
      <c r="G46" s="748">
        <f t="shared" si="5"/>
        <v>0</v>
      </c>
      <c r="H46" s="748">
        <f t="shared" si="5"/>
        <v>148349.63830521048</v>
      </c>
      <c r="I46" s="748">
        <f t="shared" si="5"/>
        <v>16156.753817215071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164939.29583275862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1662.1979392355152</v>
      </c>
      <c r="D48" s="703">
        <f ca="1">+landbouw!C12</f>
        <v>17709.30905352061</v>
      </c>
      <c r="E48" s="703">
        <f>+landbouw!D12</f>
        <v>0</v>
      </c>
      <c r="F48" s="703">
        <f>+landbouw!E12</f>
        <v>20.577449822942867</v>
      </c>
      <c r="G48" s="703">
        <f>+landbouw!F12</f>
        <v>8384.0991566516514</v>
      </c>
      <c r="H48" s="703">
        <f>+landbouw!G12</f>
        <v>0</v>
      </c>
      <c r="I48" s="703">
        <f>+landbouw!H12</f>
        <v>0</v>
      </c>
      <c r="J48" s="703">
        <f>+landbouw!I12</f>
        <v>0</v>
      </c>
      <c r="K48" s="703">
        <f>+landbouw!J12</f>
        <v>421.38002088798748</v>
      </c>
      <c r="L48" s="703">
        <f>+landbouw!K12</f>
        <v>0</v>
      </c>
      <c r="M48" s="703">
        <f>+landbouw!L12</f>
        <v>0</v>
      </c>
      <c r="N48" s="703">
        <f>+landbouw!M12</f>
        <v>0</v>
      </c>
      <c r="O48" s="703">
        <f>+landbouw!N12</f>
        <v>0</v>
      </c>
      <c r="P48" s="703">
        <f>+landbouw!O12</f>
        <v>0</v>
      </c>
      <c r="Q48" s="704">
        <f>+landbouw!P12</f>
        <v>0</v>
      </c>
      <c r="R48" s="746">
        <f ca="1">SUM(C48:Q48)</f>
        <v>28197.563620118712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59400.074693788265</v>
      </c>
      <c r="D53" s="758">
        <f t="shared" ref="D53:Q53" ca="1" si="6">D41+D46+D48</f>
        <v>17956.951260504211</v>
      </c>
      <c r="E53" s="758">
        <f t="shared" ca="1" si="6"/>
        <v>62199.330639273554</v>
      </c>
      <c r="F53" s="758">
        <f t="shared" si="6"/>
        <v>1833.7879339830847</v>
      </c>
      <c r="G53" s="758">
        <f t="shared" ca="1" si="6"/>
        <v>19152.939999931838</v>
      </c>
      <c r="H53" s="758">
        <f t="shared" si="6"/>
        <v>148349.63830521048</v>
      </c>
      <c r="I53" s="758">
        <f t="shared" si="6"/>
        <v>16156.753817215071</v>
      </c>
      <c r="J53" s="758">
        <f t="shared" si="6"/>
        <v>0</v>
      </c>
      <c r="K53" s="758">
        <f t="shared" si="6"/>
        <v>3049.6956463251577</v>
      </c>
      <c r="L53" s="758">
        <f t="shared" si="6"/>
        <v>0</v>
      </c>
      <c r="M53" s="758">
        <f t="shared" ca="1" si="6"/>
        <v>0</v>
      </c>
      <c r="N53" s="758">
        <f t="shared" si="6"/>
        <v>0</v>
      </c>
      <c r="O53" s="758">
        <f t="shared" ca="1" si="6"/>
        <v>0</v>
      </c>
      <c r="P53" s="758">
        <f>P41+P46+P48</f>
        <v>0</v>
      </c>
      <c r="Q53" s="759">
        <f t="shared" si="6"/>
        <v>0</v>
      </c>
      <c r="R53" s="760">
        <f ca="1">R41+R46+R48</f>
        <v>328099.17229623167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0.17274235553714051</v>
      </c>
      <c r="D55" s="824">
        <f t="shared" ca="1" si="7"/>
        <v>0.19554376185958267</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27811.855772411498</v>
      </c>
      <c r="C64" s="780">
        <f>'lokale energieproductie'!B4</f>
        <v>27811.855772411498</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36900.289339971867</v>
      </c>
      <c r="C66" s="780">
        <f>'lokale energieproductie'!B6</f>
        <v>36900.289339971867</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64281.599999999999</v>
      </c>
      <c r="C67" s="779">
        <f>B67*IFERROR(SUM(J67:L67)/SUM(D67:M67),0)</f>
        <v>11388.599999999999</v>
      </c>
      <c r="D67" s="811">
        <f>'lokale energieproductie'!C7</f>
        <v>62227.058823529427</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13398.352941176474</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12569.865882352946</v>
      </c>
      <c r="P67" s="911">
        <v>0</v>
      </c>
      <c r="Q67" s="770"/>
      <c r="R67" s="727"/>
    </row>
    <row r="68" spans="1:18" ht="30.75" thickBot="1">
      <c r="A68" s="786" t="s">
        <v>353</v>
      </c>
      <c r="B68" s="779">
        <f>'lokale energieproductie'!B8</f>
        <v>2970</v>
      </c>
      <c r="C68" s="779">
        <f>B68*IFERROR(SUM(J68:L68)/SUM(D68:M68),0)</f>
        <v>2970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8485.7142857142862</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131963.74511238336</v>
      </c>
      <c r="C69" s="788">
        <f>SUM(C64:C68)</f>
        <v>79070.74511238336</v>
      </c>
      <c r="D69" s="789">
        <f t="shared" ref="D69:M69" si="8">SUM(D67:D68)</f>
        <v>62227.058823529427</v>
      </c>
      <c r="E69" s="789">
        <f t="shared" si="8"/>
        <v>0</v>
      </c>
      <c r="F69" s="789">
        <f t="shared" si="8"/>
        <v>0</v>
      </c>
      <c r="G69" s="789">
        <f t="shared" si="8"/>
        <v>0</v>
      </c>
      <c r="H69" s="789">
        <f t="shared" si="8"/>
        <v>0</v>
      </c>
      <c r="I69" s="789">
        <f t="shared" si="8"/>
        <v>0</v>
      </c>
      <c r="J69" s="789">
        <f t="shared" si="8"/>
        <v>0</v>
      </c>
      <c r="K69" s="789">
        <f t="shared" si="8"/>
        <v>21884.067226890758</v>
      </c>
      <c r="L69" s="789">
        <f t="shared" si="8"/>
        <v>0</v>
      </c>
      <c r="M69" s="919">
        <f t="shared" si="8"/>
        <v>0</v>
      </c>
      <c r="N69" s="790">
        <v>0</v>
      </c>
      <c r="O69" s="790">
        <f>SUM(O67:O68)</f>
        <v>12569.865882352946</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91830.857142857145</v>
      </c>
      <c r="C78" s="802">
        <f>B78*IFERROR(SUM(I78:L78)/SUM(D78:M78),0)</f>
        <v>16269.428571428572</v>
      </c>
      <c r="D78" s="817">
        <f>'lokale energieproductie'!C16</f>
        <v>88895.798319327747</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19140.504201680676</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17956.951260504207</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91830.857142857145</v>
      </c>
      <c r="C81" s="788">
        <f>SUM(C78:C80)</f>
        <v>16269.428571428572</v>
      </c>
      <c r="D81" s="788">
        <f t="shared" ref="D81:P81" si="9">SUM(D78:D80)</f>
        <v>88895.798319327747</v>
      </c>
      <c r="E81" s="788">
        <f t="shared" si="9"/>
        <v>0</v>
      </c>
      <c r="F81" s="788">
        <f t="shared" si="9"/>
        <v>0</v>
      </c>
      <c r="G81" s="788">
        <f t="shared" si="9"/>
        <v>0</v>
      </c>
      <c r="H81" s="788">
        <f t="shared" si="9"/>
        <v>0</v>
      </c>
      <c r="I81" s="788">
        <f t="shared" si="9"/>
        <v>0</v>
      </c>
      <c r="J81" s="788">
        <f t="shared" si="9"/>
        <v>0</v>
      </c>
      <c r="K81" s="788">
        <f t="shared" si="9"/>
        <v>19140.504201680676</v>
      </c>
      <c r="L81" s="788">
        <f t="shared" si="9"/>
        <v>0</v>
      </c>
      <c r="M81" s="788">
        <f t="shared" si="9"/>
        <v>0</v>
      </c>
      <c r="N81" s="788">
        <v>0</v>
      </c>
      <c r="O81" s="788">
        <f>SUM(O78:O80)</f>
        <v>17956.951260504207</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98833.757035251969</v>
      </c>
      <c r="C4" s="462">
        <f>huishoudens!C8</f>
        <v>0</v>
      </c>
      <c r="D4" s="462">
        <f>huishoudens!D8</f>
        <v>213885.26822750521</v>
      </c>
      <c r="E4" s="462">
        <f>huishoudens!E8</f>
        <v>4623.9194824246742</v>
      </c>
      <c r="F4" s="462">
        <f>huishoudens!F8</f>
        <v>0</v>
      </c>
      <c r="G4" s="462">
        <f>huishoudens!G8</f>
        <v>0</v>
      </c>
      <c r="H4" s="462">
        <f>huishoudens!H8</f>
        <v>0</v>
      </c>
      <c r="I4" s="462">
        <f>huishoudens!I8</f>
        <v>0</v>
      </c>
      <c r="J4" s="462">
        <f>huishoudens!J8</f>
        <v>7068.7722160182584</v>
      </c>
      <c r="K4" s="462">
        <f>huishoudens!K8</f>
        <v>0</v>
      </c>
      <c r="L4" s="462">
        <f>huishoudens!L8</f>
        <v>0</v>
      </c>
      <c r="M4" s="462">
        <f>huishoudens!M8</f>
        <v>0</v>
      </c>
      <c r="N4" s="462">
        <f>huishoudens!N8</f>
        <v>35678.003120385903</v>
      </c>
      <c r="O4" s="462">
        <f>huishoudens!O8</f>
        <v>637.84</v>
      </c>
      <c r="P4" s="463">
        <f>huishoudens!P8</f>
        <v>667.33333333333337</v>
      </c>
      <c r="Q4" s="464">
        <f>SUM(B4:P4)</f>
        <v>361394.89341491938</v>
      </c>
    </row>
    <row r="5" spans="1:17">
      <c r="A5" s="461" t="s">
        <v>156</v>
      </c>
      <c r="B5" s="462">
        <f ca="1">tertiair!B16</f>
        <v>135584.37421000542</v>
      </c>
      <c r="C5" s="462">
        <f ca="1">tertiair!C16</f>
        <v>1266.4285714285716</v>
      </c>
      <c r="D5" s="462">
        <f ca="1">tertiair!D16</f>
        <v>64154.87817755471</v>
      </c>
      <c r="E5" s="462">
        <f>tertiair!E16</f>
        <v>684.77028136314607</v>
      </c>
      <c r="F5" s="462">
        <f ca="1">tertiair!F16</f>
        <v>21270.094719853227</v>
      </c>
      <c r="G5" s="462">
        <f>tertiair!G16</f>
        <v>0</v>
      </c>
      <c r="H5" s="462">
        <f>tertiair!H16</f>
        <v>0</v>
      </c>
      <c r="I5" s="462">
        <f>tertiair!I16</f>
        <v>0</v>
      </c>
      <c r="J5" s="462">
        <f>tertiair!J16</f>
        <v>0</v>
      </c>
      <c r="K5" s="462">
        <f>tertiair!K16</f>
        <v>0</v>
      </c>
      <c r="L5" s="462">
        <f ca="1">tertiair!L16</f>
        <v>0</v>
      </c>
      <c r="M5" s="462">
        <f>tertiair!M16</f>
        <v>0</v>
      </c>
      <c r="N5" s="462">
        <f ca="1">tertiair!N16</f>
        <v>5317.7274455560137</v>
      </c>
      <c r="O5" s="462">
        <f>tertiair!O16</f>
        <v>0</v>
      </c>
      <c r="P5" s="463">
        <f>tertiair!P16</f>
        <v>0</v>
      </c>
      <c r="Q5" s="461">
        <f t="shared" ref="Q5:Q13" ca="1" si="0">SUM(B5:P5)</f>
        <v>228278.27340576111</v>
      </c>
    </row>
    <row r="6" spans="1:17">
      <c r="A6" s="461" t="s">
        <v>194</v>
      </c>
      <c r="B6" s="462">
        <f>'openbare verlichting'!B8</f>
        <v>3103.7660000000001</v>
      </c>
      <c r="C6" s="462"/>
      <c r="D6" s="462"/>
      <c r="E6" s="462"/>
      <c r="F6" s="462"/>
      <c r="G6" s="462"/>
      <c r="H6" s="462"/>
      <c r="I6" s="462"/>
      <c r="J6" s="462"/>
      <c r="K6" s="462"/>
      <c r="L6" s="462"/>
      <c r="M6" s="462"/>
      <c r="N6" s="462"/>
      <c r="O6" s="462"/>
      <c r="P6" s="463"/>
      <c r="Q6" s="461">
        <f t="shared" si="0"/>
        <v>3103.7660000000001</v>
      </c>
    </row>
    <row r="7" spans="1:17">
      <c r="A7" s="461" t="s">
        <v>112</v>
      </c>
      <c r="B7" s="462">
        <f>landbouw!B8</f>
        <v>9622.4109834957871</v>
      </c>
      <c r="C7" s="462">
        <f>landbouw!C8</f>
        <v>90564.428571428565</v>
      </c>
      <c r="D7" s="462">
        <f>landbouw!D8</f>
        <v>0</v>
      </c>
      <c r="E7" s="462">
        <f>landbouw!E8</f>
        <v>90.64955869137826</v>
      </c>
      <c r="F7" s="462">
        <f>landbouw!F8</f>
        <v>31401.120436897567</v>
      </c>
      <c r="G7" s="462">
        <f>landbouw!G8</f>
        <v>0</v>
      </c>
      <c r="H7" s="462">
        <f>landbouw!H8</f>
        <v>0</v>
      </c>
      <c r="I7" s="462">
        <f>landbouw!I8</f>
        <v>0</v>
      </c>
      <c r="J7" s="462">
        <f>landbouw!J8</f>
        <v>1190.3390420564619</v>
      </c>
      <c r="K7" s="462">
        <f>landbouw!K8</f>
        <v>0</v>
      </c>
      <c r="L7" s="462">
        <f>landbouw!L8</f>
        <v>0</v>
      </c>
      <c r="M7" s="462">
        <f>landbouw!M8</f>
        <v>0</v>
      </c>
      <c r="N7" s="462">
        <f>landbouw!N8</f>
        <v>0</v>
      </c>
      <c r="O7" s="462">
        <f>landbouw!O8</f>
        <v>0</v>
      </c>
      <c r="P7" s="463">
        <f>landbouw!P8</f>
        <v>0</v>
      </c>
      <c r="Q7" s="461">
        <f t="shared" si="0"/>
        <v>132868.94859256977</v>
      </c>
    </row>
    <row r="8" spans="1:17">
      <c r="A8" s="461" t="s">
        <v>685</v>
      </c>
      <c r="B8" s="462">
        <f>industrie!B18</f>
        <v>96710.710850076852</v>
      </c>
      <c r="C8" s="462">
        <f>industrie!C18</f>
        <v>0</v>
      </c>
      <c r="D8" s="462">
        <f>industrie!D18</f>
        <v>29849.089845671027</v>
      </c>
      <c r="E8" s="462">
        <f>industrie!E18</f>
        <v>804.79228597309998</v>
      </c>
      <c r="F8" s="462">
        <f>industrie!F18</f>
        <v>19062.642520896534</v>
      </c>
      <c r="G8" s="462">
        <f>industrie!G18</f>
        <v>0</v>
      </c>
      <c r="H8" s="462">
        <f>industrie!H18</f>
        <v>0</v>
      </c>
      <c r="I8" s="462">
        <f>industrie!I18</f>
        <v>0</v>
      </c>
      <c r="J8" s="462">
        <f>industrie!J18</f>
        <v>355.84819482120571</v>
      </c>
      <c r="K8" s="462">
        <f>industrie!K18</f>
        <v>0</v>
      </c>
      <c r="L8" s="462">
        <f>industrie!L18</f>
        <v>0</v>
      </c>
      <c r="M8" s="462">
        <f>industrie!M18</f>
        <v>0</v>
      </c>
      <c r="N8" s="462">
        <f>industrie!N18</f>
        <v>0</v>
      </c>
      <c r="O8" s="462">
        <f>industrie!O18</f>
        <v>0</v>
      </c>
      <c r="P8" s="463">
        <f>industrie!P18</f>
        <v>0</v>
      </c>
      <c r="Q8" s="461">
        <f t="shared" si="0"/>
        <v>146783.08369743873</v>
      </c>
    </row>
    <row r="9" spans="1:17" s="467" customFormat="1">
      <c r="A9" s="465" t="s">
        <v>579</v>
      </c>
      <c r="B9" s="466">
        <f>transport!B14</f>
        <v>10.123370364694848</v>
      </c>
      <c r="C9" s="466"/>
      <c r="D9" s="466">
        <f>transport!D14</f>
        <v>28.242161514339259</v>
      </c>
      <c r="E9" s="466">
        <f>transport!E14</f>
        <v>1874.2293342044622</v>
      </c>
      <c r="F9" s="466"/>
      <c r="G9" s="466">
        <f>transport!G14</f>
        <v>551575.66589382733</v>
      </c>
      <c r="H9" s="466">
        <f>transport!H14</f>
        <v>64886.561514919966</v>
      </c>
      <c r="I9" s="466"/>
      <c r="J9" s="466"/>
      <c r="K9" s="466"/>
      <c r="L9" s="466"/>
      <c r="M9" s="466">
        <f>transport!M14</f>
        <v>27530.133959392449</v>
      </c>
      <c r="N9" s="466"/>
      <c r="O9" s="466"/>
      <c r="P9" s="466"/>
      <c r="Q9" s="465">
        <f>SUM(B9:P9)</f>
        <v>645904.95623422321</v>
      </c>
    </row>
    <row r="10" spans="1:17">
      <c r="A10" s="461" t="s">
        <v>569</v>
      </c>
      <c r="B10" s="462">
        <f>transport!B54</f>
        <v>0</v>
      </c>
      <c r="C10" s="462"/>
      <c r="D10" s="462">
        <f>transport!D54</f>
        <v>0</v>
      </c>
      <c r="E10" s="462"/>
      <c r="F10" s="462"/>
      <c r="G10" s="462">
        <f>transport!G54</f>
        <v>4040.9569721295111</v>
      </c>
      <c r="H10" s="462"/>
      <c r="I10" s="462"/>
      <c r="J10" s="462"/>
      <c r="K10" s="462"/>
      <c r="L10" s="462"/>
      <c r="M10" s="462">
        <f>transport!M54</f>
        <v>177.44508662169645</v>
      </c>
      <c r="N10" s="462"/>
      <c r="O10" s="462"/>
      <c r="P10" s="463"/>
      <c r="Q10" s="461">
        <f t="shared" si="0"/>
        <v>4218.4020587512077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343865.14244919474</v>
      </c>
      <c r="C14" s="472">
        <f t="shared" ref="C14:Q14" ca="1" si="1">SUM(C4:C13)</f>
        <v>91830.85714285713</v>
      </c>
      <c r="D14" s="472">
        <f t="shared" ca="1" si="1"/>
        <v>307917.47841224528</v>
      </c>
      <c r="E14" s="472">
        <f t="shared" si="1"/>
        <v>8078.36094265676</v>
      </c>
      <c r="F14" s="472">
        <f t="shared" ca="1" si="1"/>
        <v>71733.857677647335</v>
      </c>
      <c r="G14" s="472">
        <f t="shared" si="1"/>
        <v>555616.62286595686</v>
      </c>
      <c r="H14" s="472">
        <f t="shared" si="1"/>
        <v>64886.561514919966</v>
      </c>
      <c r="I14" s="472">
        <f t="shared" si="1"/>
        <v>0</v>
      </c>
      <c r="J14" s="472">
        <f t="shared" si="1"/>
        <v>8614.9594528959278</v>
      </c>
      <c r="K14" s="472">
        <f t="shared" si="1"/>
        <v>0</v>
      </c>
      <c r="L14" s="472">
        <f t="shared" ca="1" si="1"/>
        <v>0</v>
      </c>
      <c r="M14" s="472">
        <f t="shared" si="1"/>
        <v>27707.579046014147</v>
      </c>
      <c r="N14" s="472">
        <f t="shared" ca="1" si="1"/>
        <v>40995.730565941914</v>
      </c>
      <c r="O14" s="472">
        <f t="shared" si="1"/>
        <v>637.84</v>
      </c>
      <c r="P14" s="473">
        <f t="shared" si="1"/>
        <v>667.33333333333337</v>
      </c>
      <c r="Q14" s="473">
        <f t="shared" ca="1" si="1"/>
        <v>1522552.3234036635</v>
      </c>
    </row>
    <row r="16" spans="1:17">
      <c r="A16" s="475" t="s">
        <v>574</v>
      </c>
      <c r="B16" s="829">
        <f ca="1">huishoudens!B10</f>
        <v>0.17274235553714051</v>
      </c>
      <c r="C16" s="829">
        <f ca="1">huishoudens!C10</f>
        <v>0.19554376185958264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17072.77599685486</v>
      </c>
      <c r="C21" s="462">
        <f t="shared" ref="C21:C28" ca="1" si="3">C4*$C$16</f>
        <v>0</v>
      </c>
      <c r="D21" s="462">
        <f t="shared" ref="D21:D30" si="4">D4*$D$16</f>
        <v>43204.824181956057</v>
      </c>
      <c r="E21" s="462">
        <f t="shared" ref="E21:E30" si="5">E4*$E$16</f>
        <v>1049.6297225104011</v>
      </c>
      <c r="F21" s="462">
        <f t="shared" ref="F21:F28" si="6">F4*$F$16</f>
        <v>0</v>
      </c>
      <c r="G21" s="462">
        <f t="shared" ref="G21:G30" si="7">G4*$G$16</f>
        <v>0</v>
      </c>
      <c r="H21" s="462">
        <f t="shared" ref="H21:H30" si="8">H4*$H$16</f>
        <v>0</v>
      </c>
      <c r="I21" s="462">
        <f t="shared" ref="I21:I28" si="9">I4*$I$16</f>
        <v>0</v>
      </c>
      <c r="J21" s="462">
        <f t="shared" ref="J21:J28" si="10">J4*$J$16</f>
        <v>2502.3453644704632</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63829.575265791776</v>
      </c>
    </row>
    <row r="22" spans="1:17">
      <c r="A22" s="461" t="s">
        <v>156</v>
      </c>
      <c r="B22" s="462">
        <f t="shared" ca="1" si="2"/>
        <v>23421.16417506546</v>
      </c>
      <c r="C22" s="462">
        <f t="shared" ca="1" si="3"/>
        <v>247.64220698360003</v>
      </c>
      <c r="D22" s="462">
        <f t="shared" ca="1" si="4"/>
        <v>12959.285391866053</v>
      </c>
      <c r="E22" s="462">
        <f t="shared" si="5"/>
        <v>155.44285386943417</v>
      </c>
      <c r="F22" s="462">
        <f t="shared" ca="1" si="6"/>
        <v>5679.1152902008116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42462.649917985356</v>
      </c>
    </row>
    <row r="23" spans="1:17">
      <c r="A23" s="461" t="s">
        <v>194</v>
      </c>
      <c r="B23" s="462">
        <f t="shared" ca="1" si="2"/>
        <v>536.15184987608848</v>
      </c>
      <c r="C23" s="462"/>
      <c r="D23" s="462"/>
      <c r="E23" s="462"/>
      <c r="F23" s="462"/>
      <c r="G23" s="462"/>
      <c r="H23" s="462"/>
      <c r="I23" s="462"/>
      <c r="J23" s="462"/>
      <c r="K23" s="462"/>
      <c r="L23" s="462"/>
      <c r="M23" s="462"/>
      <c r="N23" s="462"/>
      <c r="O23" s="462"/>
      <c r="P23" s="463"/>
      <c r="Q23" s="461">
        <f t="shared" ca="1" si="17"/>
        <v>536.15184987608848</v>
      </c>
    </row>
    <row r="24" spans="1:17">
      <c r="A24" s="461" t="s">
        <v>112</v>
      </c>
      <c r="B24" s="462">
        <f t="shared" ca="1" si="2"/>
        <v>1662.1979392355152</v>
      </c>
      <c r="C24" s="462">
        <f t="shared" ca="1" si="3"/>
        <v>17709.30905352061</v>
      </c>
      <c r="D24" s="462">
        <f t="shared" si="4"/>
        <v>0</v>
      </c>
      <c r="E24" s="462">
        <f t="shared" si="5"/>
        <v>20.577449822942867</v>
      </c>
      <c r="F24" s="462">
        <f t="shared" si="6"/>
        <v>8384.0991566516514</v>
      </c>
      <c r="G24" s="462">
        <f t="shared" si="7"/>
        <v>0</v>
      </c>
      <c r="H24" s="462">
        <f t="shared" si="8"/>
        <v>0</v>
      </c>
      <c r="I24" s="462">
        <f t="shared" si="9"/>
        <v>0</v>
      </c>
      <c r="J24" s="462">
        <f t="shared" si="10"/>
        <v>421.38002088798748</v>
      </c>
      <c r="K24" s="462">
        <f t="shared" si="11"/>
        <v>0</v>
      </c>
      <c r="L24" s="462">
        <f t="shared" si="12"/>
        <v>0</v>
      </c>
      <c r="M24" s="462">
        <f t="shared" si="13"/>
        <v>0</v>
      </c>
      <c r="N24" s="462">
        <f t="shared" si="14"/>
        <v>0</v>
      </c>
      <c r="O24" s="462">
        <f t="shared" si="15"/>
        <v>0</v>
      </c>
      <c r="P24" s="463">
        <f t="shared" si="16"/>
        <v>0</v>
      </c>
      <c r="Q24" s="461">
        <f t="shared" ca="1" si="17"/>
        <v>28197.563620118712</v>
      </c>
    </row>
    <row r="25" spans="1:17">
      <c r="A25" s="461" t="s">
        <v>685</v>
      </c>
      <c r="B25" s="462">
        <f t="shared" ca="1" si="2"/>
        <v>16706.035997913568</v>
      </c>
      <c r="C25" s="462">
        <f t="shared" ca="1" si="3"/>
        <v>0</v>
      </c>
      <c r="D25" s="462">
        <f t="shared" si="4"/>
        <v>6029.516148825548</v>
      </c>
      <c r="E25" s="462">
        <f t="shared" si="5"/>
        <v>182.68784891589371</v>
      </c>
      <c r="F25" s="462">
        <f t="shared" si="6"/>
        <v>5089.7255530793745</v>
      </c>
      <c r="G25" s="462">
        <f t="shared" si="7"/>
        <v>0</v>
      </c>
      <c r="H25" s="462">
        <f t="shared" si="8"/>
        <v>0</v>
      </c>
      <c r="I25" s="462">
        <f t="shared" si="9"/>
        <v>0</v>
      </c>
      <c r="J25" s="462">
        <f t="shared" si="10"/>
        <v>125.97026096670682</v>
      </c>
      <c r="K25" s="462">
        <f t="shared" si="11"/>
        <v>0</v>
      </c>
      <c r="L25" s="462">
        <f t="shared" si="12"/>
        <v>0</v>
      </c>
      <c r="M25" s="462">
        <f t="shared" si="13"/>
        <v>0</v>
      </c>
      <c r="N25" s="462">
        <f t="shared" si="14"/>
        <v>0</v>
      </c>
      <c r="O25" s="462">
        <f t="shared" si="15"/>
        <v>0</v>
      </c>
      <c r="P25" s="463">
        <f t="shared" si="16"/>
        <v>0</v>
      </c>
      <c r="Q25" s="461">
        <f t="shared" ca="1" si="17"/>
        <v>28133.935809701092</v>
      </c>
    </row>
    <row r="26" spans="1:17" s="467" customFormat="1">
      <c r="A26" s="465" t="s">
        <v>579</v>
      </c>
      <c r="B26" s="823">
        <f t="shared" ca="1" si="2"/>
        <v>1.7487348427722693</v>
      </c>
      <c r="C26" s="466"/>
      <c r="D26" s="466">
        <f t="shared" si="4"/>
        <v>5.7049166258965309</v>
      </c>
      <c r="E26" s="466">
        <f t="shared" si="5"/>
        <v>425.45005886441294</v>
      </c>
      <c r="F26" s="466"/>
      <c r="G26" s="466">
        <f t="shared" si="7"/>
        <v>147270.7027936519</v>
      </c>
      <c r="H26" s="466">
        <f t="shared" si="8"/>
        <v>16156.753817215071</v>
      </c>
      <c r="I26" s="466"/>
      <c r="J26" s="466"/>
      <c r="K26" s="466"/>
      <c r="L26" s="466"/>
      <c r="M26" s="466">
        <f t="shared" si="13"/>
        <v>0</v>
      </c>
      <c r="N26" s="466"/>
      <c r="O26" s="466"/>
      <c r="P26" s="477"/>
      <c r="Q26" s="465">
        <f t="shared" ca="1" si="17"/>
        <v>163860.36032120005</v>
      </c>
    </row>
    <row r="27" spans="1:17">
      <c r="A27" s="461" t="s">
        <v>569</v>
      </c>
      <c r="B27" s="462">
        <f t="shared" ca="1" si="2"/>
        <v>0</v>
      </c>
      <c r="C27" s="462"/>
      <c r="D27" s="466">
        <f t="shared" si="4"/>
        <v>0</v>
      </c>
      <c r="E27" s="462"/>
      <c r="F27" s="462"/>
      <c r="G27" s="462">
        <f t="shared" si="7"/>
        <v>1078.9355115585795</v>
      </c>
      <c r="H27" s="462"/>
      <c r="I27" s="462"/>
      <c r="J27" s="462"/>
      <c r="K27" s="462"/>
      <c r="L27" s="462"/>
      <c r="M27" s="462">
        <f t="shared" si="13"/>
        <v>0</v>
      </c>
      <c r="N27" s="462"/>
      <c r="O27" s="462"/>
      <c r="P27" s="463"/>
      <c r="Q27" s="461">
        <f t="shared" ca="1" si="17"/>
        <v>1078.9355115585795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59400.074693788258</v>
      </c>
      <c r="C31" s="472">
        <f t="shared" ca="1" si="18"/>
        <v>17956.951260504211</v>
      </c>
      <c r="D31" s="472">
        <f t="shared" ca="1" si="18"/>
        <v>62199.330639273554</v>
      </c>
      <c r="E31" s="472">
        <f t="shared" si="18"/>
        <v>1833.7879339830847</v>
      </c>
      <c r="F31" s="472">
        <f t="shared" ca="1" si="18"/>
        <v>19152.939999931838</v>
      </c>
      <c r="G31" s="472">
        <f t="shared" si="18"/>
        <v>148349.63830521048</v>
      </c>
      <c r="H31" s="472">
        <f t="shared" si="18"/>
        <v>16156.753817215071</v>
      </c>
      <c r="I31" s="472">
        <f t="shared" si="18"/>
        <v>0</v>
      </c>
      <c r="J31" s="472">
        <f t="shared" si="18"/>
        <v>3049.6956463251577</v>
      </c>
      <c r="K31" s="472">
        <f t="shared" si="18"/>
        <v>0</v>
      </c>
      <c r="L31" s="472">
        <f t="shared" ca="1" si="18"/>
        <v>0</v>
      </c>
      <c r="M31" s="472">
        <f t="shared" si="18"/>
        <v>0</v>
      </c>
      <c r="N31" s="472">
        <f t="shared" ca="1" si="18"/>
        <v>0</v>
      </c>
      <c r="O31" s="472">
        <f t="shared" si="18"/>
        <v>0</v>
      </c>
      <c r="P31" s="473">
        <f t="shared" si="18"/>
        <v>0</v>
      </c>
      <c r="Q31" s="473">
        <f t="shared" ca="1" si="18"/>
        <v>328099.17229623167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0.17274235553714051</v>
      </c>
      <c r="C17" s="512">
        <f ca="1">'EF ele_warmte'!B22</f>
        <v>0.19554376185958264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0.17274235553714051</v>
      </c>
      <c r="C17" s="512">
        <f ca="1">'EF ele_warmte'!B22</f>
        <v>0.19554376185958264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0.17274235553714051</v>
      </c>
      <c r="C29" s="513">
        <f ca="1">'EF ele_warmte'!B22</f>
        <v>0.19554376185958264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2018-12-05T16:08:11Z</dcterms:modified>
</cp:coreProperties>
</file>