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B50" s="1"/>
  <c r="D6" i="17"/>
  <c r="D8" s="1"/>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G101" i="18"/>
  <c r="C10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F81"/>
  <c r="J4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C100"/>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51" i="22"/>
  <c r="M50" s="1"/>
  <c r="M54" s="1"/>
  <c r="M10" i="48" s="1"/>
  <c r="M27" s="1"/>
  <c r="H31" i="20"/>
  <c r="I43" i="14" s="1"/>
  <c r="H13" i="48"/>
  <c r="H30" s="1"/>
  <c r="M31" i="20"/>
  <c r="N43" i="14" s="1"/>
  <c r="G50" i="22"/>
  <c r="G54" s="1"/>
  <c r="H18" i="14" s="1"/>
  <c r="G13" i="48"/>
  <c r="G30" s="1"/>
  <c r="H17" i="14"/>
  <c r="M5" i="22"/>
  <c r="M14" s="1"/>
  <c r="G5"/>
  <c r="H5"/>
  <c r="H14" s="1"/>
  <c r="I14" i="48"/>
  <c r="E5" i="15"/>
  <c r="O20"/>
  <c r="P36" i="14" s="1"/>
  <c r="P10"/>
  <c r="P20" i="15"/>
  <c r="Q36" i="14"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30"/>
  <c r="M25"/>
  <c r="M24"/>
  <c r="I31"/>
  <c r="C50" i="13"/>
  <c r="J5" s="1"/>
  <c r="J8" s="1"/>
  <c r="E7" i="48"/>
  <c r="E24" s="1"/>
  <c r="E12" i="17"/>
  <c r="F48" i="14" s="1"/>
  <c r="C5" i="48"/>
  <c r="C14" s="1"/>
  <c r="E13" i="14" l="1"/>
  <c r="D18" i="22"/>
  <c r="E45" i="14" s="1"/>
  <c r="E46" s="1"/>
  <c r="I7" i="18"/>
  <c r="M7" s="1"/>
  <c r="M9" s="1"/>
  <c r="Q41" i="14"/>
  <c r="Q53" s="1"/>
  <c r="Q55" s="1"/>
  <c r="J7" i="18"/>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P55"/>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Q5" i="48"/>
  <c r="O13" i="14"/>
  <c r="O15" s="1"/>
  <c r="N22" i="16"/>
  <c r="O39" i="14" s="1"/>
  <c r="O41" s="1"/>
  <c r="Q4" i="48"/>
  <c r="N22"/>
  <c r="R11" i="14"/>
  <c r="J21" i="48"/>
  <c r="J14"/>
  <c r="R10" i="14"/>
  <c r="C17" i="49" l="1"/>
  <c r="C29" i="20"/>
  <c r="C17" i="19"/>
  <c r="C19" s="1"/>
  <c r="D35" i="14" s="1"/>
  <c r="C20" i="16"/>
  <c r="C22" s="1"/>
  <c r="D39" i="14" s="1"/>
  <c r="C18" i="15"/>
  <c r="C20" s="1"/>
  <c r="D36" i="14" s="1"/>
  <c r="C10" i="13"/>
  <c r="C16" i="48" s="1"/>
  <c r="C16" i="22"/>
  <c r="C10" i="17"/>
  <c r="C12" s="1"/>
  <c r="D48" i="14" s="1"/>
  <c r="C56" i="22"/>
  <c r="C58" s="1"/>
  <c r="D44" i="14" s="1"/>
  <c r="D46" s="1"/>
  <c r="F22" i="16"/>
  <c r="G39" i="14" s="1"/>
  <c r="G41" s="1"/>
  <c r="G53" s="1"/>
  <c r="G55" s="1"/>
  <c r="O69" s="1"/>
  <c r="B9" i="6" s="1"/>
  <c r="B12" s="1"/>
  <c r="E55" i="14"/>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<sst xmlns="http://schemas.openxmlformats.org/spreadsheetml/2006/main" count="2214" uniqueCount="921">
  <si>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</si>
  <si>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</si>
  <si>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</si>
  <si>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</si>
  <si>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</si>
  <si>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</si>
  <si>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</si>
  <si>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</si>
  <si>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</si>
  <si>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</si>
  <si>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</si>
  <si>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</si>
  <si>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</si>
  <si>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</si>
  <si>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</si>
  <si>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</si>
  <si>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</si>
  <si>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</si>
  <si>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</si>
  <si>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</si>
  <si>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</si>
  <si>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</si>
  <si>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</si>
  <si>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</si>
  <si>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</si>
  <si>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</si>
  <si>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</si>
  <si>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</si>
  <si>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</si>
  <si>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</si>
  <si>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</si>
  <si>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</si>
  <si>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</si>
  <si>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</si>
  <si>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</si>
  <si>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</si>
  <si>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</si>
  <si>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</si>
  <si>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</si>
  <si>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</si>
  <si>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</si>
  <si>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</si>
  <si>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</si>
  <si>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</si>
  <si>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</si>
  <si>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</si>
  <si>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</si>
  <si>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</si>
  <si>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</si>
  <si>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</si>
  <si>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</si>
  <si>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</si>
  <si>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</si>
  <si>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</si>
  <si>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</si>
  <si>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</si>
  <si>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</si>
  <si>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</si>
  <si>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</si>
  <si>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</si>
  <si>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</si>
  <si>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</si>
  <si>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</si>
  <si>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</si>
  <si>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</si>
  <si>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</si>
  <si>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</si>
  <si>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</si>
  <si>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</si>
  <si>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</si>
  <si>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</si>
  <si>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</si>
  <si>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</si>
  <si>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</si>
  <si>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</si>
  <si>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</si>
  <si>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</si>
  <si>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</si>
  <si>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</si>
  <si>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</si>
  <si>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</si>
  <si>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</si>
  <si>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</si>
  <si>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</si>
  <si>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</si>
  <si>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</si>
  <si>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</si>
  <si>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</si>
  <si>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</si>
  <si>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</si>
  <si>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</si>
  <si>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</si>
  <si>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</si>
  <si>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</si>
  <si>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</si>
  <si>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</si>
  <si>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</si>
  <si>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</si>
  <si>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</si>
  <si>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</si>
  <si>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</si>
  <si>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</si>
  <si>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</si>
  <si>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</si>
  <si>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</si>
  <si>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</si>
  <si>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</si>
  <si>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</si>
  <si>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</si>
  <si>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</si>
  <si>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</si>
  <si>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</si>
  <si>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</si>
  <si>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</si>
  <si>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</si>
  <si>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</si>
  <si>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</si>
  <si>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</si>
  <si>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</si>
  <si>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</si>
  <si>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</si>
  <si>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</si>
  <si>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</si>
  <si>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</si>
  <si>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</si>
  <si>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</si>
  <si>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</si>
  <si>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</si>
  <si>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</si>
  <si>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</si>
  <si>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</si>
  <si>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</si>
  <si>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</si>
  <si>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</si>
  <si>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</si>
  <si>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</si>
  <si>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</si>
  <si>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</si>
  <si>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</si>
  <si>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</si>
  <si>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</si>
  <si>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</si>
  <si>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</si>
  <si>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</si>
  <si>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</si>
  <si>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</si>
  <si>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</si>
  <si>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</si>
  <si>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</si>
  <si>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</si>
  <si>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</si>
  <si>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</si>
  <si>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</si>
  <si>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</si>
  <si>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</si>
  <si>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</si>
  <si>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</si>
  <si>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</si>
  <si>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</si>
  <si>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</si>
  <si>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</si>
  <si>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</si>
  <si>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</si>
  <si>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</si>
  <si>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</si>
  <si>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</si>
  <si>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</si>
  <si>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</si>
  <si>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</si>
  <si>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</si>
  <si>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</si>
  <si>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</si>
  <si>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</si>
  <si>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</si>
  <si>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</si>
  <si>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</si>
  <si>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</si>
  <si>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</si>
  <si>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</si>
  <si>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</si>
  <si>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</si>
  <si>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</si>
  <si>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</si>
  <si>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</si>
  <si>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</si>
  <si>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</si>
  <si>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</si>
  <si>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</si>
  <si>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</si>
  <si>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</si>
  <si>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</si>
  <si>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</si>
  <si>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</si>
  <si>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</si>
  <si>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</si>
  <si>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</si>
  <si>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</si>
  <si>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</si>
  <si>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</si>
  <si>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</si>
  <si>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</si>
  <si>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</si>
  <si>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</si>
  <si>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</si>
  <si>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</si>
  <si>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</si>
  <si>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</si>
  <si>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</si>
  <si>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</si>
  <si>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</si>
  <si>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</si>
  <si>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</si>
  <si>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</si>
  <si>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</si>
  <si>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</si>
  <si>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</si>
  <si>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</si>
  <si>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</si>
  <si>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</si>
  <si>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</si>
  <si>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</si>
  <si>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</si>
  <si>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</si>
  <si>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</si>
  <si>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</si>
  <si>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</si>
  <si>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</si>
  <si>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</si>
  <si>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</si>
  <si>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</si>
  <si>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</si>
  <si>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</si>
  <si>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</si>
  <si>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</si>
  <si>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</si>
  <si>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</si>
  <si>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</si>
  <si>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</si>
  <si>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</si>
  <si>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</si>
  <si>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</si>
  <si>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</si>
  <si>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</si>
  <si>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</si>
  <si>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</si>
  <si>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</si>
  <si>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</si>
  <si>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</si>
  <si>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</si>
  <si>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</si>
  <si>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</si>
  <si>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</si>
  <si>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</si>
  <si>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</si>
  <si>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</si>
  <si>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</si>
  <si>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</si>
  <si>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</si>
  <si>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</si>
  <si>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</si>
  <si>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</si>
  <si>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</si>
  <si>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</si>
  <si>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</si>
  <si>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</si>
  <si>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</si>
  <si>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</si>
  <si>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</si>
  <si>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</si>
  <si>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</si>
  <si>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</si>
  <si>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</si>
  <si>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</si>
  <si>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</si>
  <si>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</si>
  <si>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</si>
  <si>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</si>
  <si>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</si>
  <si>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</si>
  <si>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</si>
  <si>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</si>
  <si>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</si>
  <si>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</si>
  <si>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</si>
  <si>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</si>
  <si>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</si>
  <si>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</si>
  <si>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</si>
  <si>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</si>
  <si>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</si>
  <si>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</si>
  <si>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</si>
  <si>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</si>
  <si>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</si>
  <si>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</si>
  <si>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</si>
  <si>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</si>
  <si>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</si>
  <si>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</si>
  <si>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</si>
  <si>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</si>
  <si>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</si>
  <si>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</si>
  <si>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</si>
  <si>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</si>
  <si>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</si>
  <si>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</si>
  <si>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</si>
  <si>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</si>
  <si>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</si>
  <si>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</si>
  <si>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</si>
  <si>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</si>
  <si>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</si>
  <si>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</si>
  <si>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</si>
  <si>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</si>
  <si>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</si>
  <si>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</si>
  <si>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</si>
  <si>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</si>
  <si>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</si>
  <si>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</si>
  <si>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</si>
  <si>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</si>
  <si>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</si>
  <si>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</si>
  <si>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</si>
  <si>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</si>
  <si>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</si>
  <si>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</si>
  <si>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</si>
  <si>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</si>
  <si>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</si>
  <si>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</si>
  <si>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</si>
  <si>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</si>
  <si>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</si>
  <si>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</si>
  <si>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</si>
  <si>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</si>
  <si>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</si>
  <si>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</si>
  <si>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</si>
  <si>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</si>
  <si>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</si>
  <si>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</si>
  <si>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</si>
  <si>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</si>
  <si>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</si>
  <si>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</si>
  <si>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</si>
  <si>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</si>
  <si>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</si>
  <si>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</si>
  <si>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</si>
  <si>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</si>
  <si>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</si>
  <si>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</si>
  <si>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</si>
  <si>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</si>
  <si>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</si>
  <si>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</si>
  <si>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</si>
  <si>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</si>
  <si>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</si>
  <si>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</si>
  <si>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</si>
  <si>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</si>
  <si>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</si>
  <si>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</si>
  <si>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</si>
  <si>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</si>
  <si>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</si>
  <si>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</si>
  <si>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</si>
  <si>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</si>
  <si>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</si>
  <si>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</si>
  <si>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</si>
  <si>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</si>
  <si>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</si>
  <si>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</si>
  <si>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</si>
  <si>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</si>
  <si>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</si>
  <si>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</si>
  <si>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</si>
  <si>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</si>
  <si>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</si>
  <si>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</si>
  <si>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</si>
  <si>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</si>
  <si>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</si>
  <si>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</si>
  <si>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</si>
  <si>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</si>
  <si>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</si>
  <si>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</si>
  <si>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</si>
  <si>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</si>
  <si>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</si>
  <si>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</si>
  <si>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</si>
  <si>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</si>
  <si>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</si>
  <si>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</si>
  <si>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</si>
  <si>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</si>
  <si>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</si>
  <si>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</si>
  <si>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</si>
  <si>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</si>
  <si>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</si>
  <si>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</si>
  <si>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</si>
  <si>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</si>
  <si>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</si>
  <si>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</si>
  <si>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</si>
  <si>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</si>
  <si>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</si>
  <si>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</si>
  <si>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</si>
  <si>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</si>
  <si>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</si>
  <si>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</si>
  <si>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</si>
  <si>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</si>
  <si>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</si>
  <si>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</si>
  <si>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</si>
  <si>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</si>
  <si>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</si>
  <si>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</si>
  <si>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</si>
  <si>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</si>
  <si>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</si>
  <si>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</si>
  <si>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</si>
  <si>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</si>
  <si>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</si>
  <si>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</si>
  <si>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</si>
  <si>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</si>
  <si>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</si>
  <si>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</si>
  <si>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</si>
  <si>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</si>
  <si>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</si>
  <si>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</si>
  <si>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</si>
  <si>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</si>
  <si>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</si>
  <si>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</si>
  <si>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</si>
  <si>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</si>
  <si>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</si>
  <si>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</si>
  <si>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</si>
  <si>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</si>
  <si>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</si>
  <si>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</si>
  <si>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</si>
  <si>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</si>
  <si>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</si>
  <si>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</si>
  <si>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</si>
  <si>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</si>
  <si>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</si>
  <si>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</si>
  <si>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</si>
  <si>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</si>
  <si>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</si>
  <si>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</si>
  <si>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</si>
  <si>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</si>
  <si>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</si>
  <si>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</si>
  <si>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</si>
  <si>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</si>
  <si>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</si>
  <si>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</si>
  <si>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</si>
  <si>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</si>
  <si>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</si>
  <si>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</si>
  <si>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</si>
  <si>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</si>
  <si>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</si>
  <si>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</si>
  <si>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</si>
  <si>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</si>
  <si>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</si>
  <si>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</si>
  <si>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</si>
  <si>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</si>
  <si>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</si>
  <si>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</si>
  <si>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</si>
  <si>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</si>
  <si>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</si>
  <si>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</si>
  <si>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</si>
  <si>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</si>
  <si>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</si>
  <si>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</si>
  <si>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</si>
  <si>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</si>
  <si>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</si>
  <si>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</si>
  <si>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</si>
  <si>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</si>
  <si>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</si>
  <si>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</si>
  <si>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</si>
  <si>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</si>
  <si>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</si>
  <si>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</si>
  <si>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</si>
  <si>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</si>
  <si>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</si>
  <si>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</si>
  <si>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</si>
  <si>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</si>
  <si>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</si>
  <si>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</si>
  <si>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</si>
  <si>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</si>
  <si>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</si>
  <si>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</si>
  <si>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</si>
  <si>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</si>
  <si>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</si>
  <si>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</si>
  <si>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</si>
  <si>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</si>
  <si>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</si>
  <si>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</si>
  <si>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</si>
  <si>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</si>
  <si>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</si>
  <si>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</si>
  <si>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</si>
  <si>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</si>
  <si>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</si>
  <si>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</si>
  <si>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</si>
  <si>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</si>
  <si>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</si>
  <si>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</si>
  <si>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</si>
  <si>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</si>
  <si>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</si>
  <si>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</si>
  <si>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</si>
  <si>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</si>
  <si>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</si>
  <si>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</si>
  <si>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</si>
  <si>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</si>
  <si>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</si>
  <si>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</si>
  <si>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</si>
  <si>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</si>
  <si>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</si>
  <si>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</si>
  <si>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</si>
  <si>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</si>
  <si>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</si>
  <si>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</si>
  <si>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</si>
  <si>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</si>
  <si>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</si>
  <si>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</si>
  <si>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</si>
  <si>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</si>
  <si>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</si>
  <si>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</si>
  <si>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</si>
  <si>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</si>
  <si>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</si>
  <si>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</si>
  <si>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</si>
  <si>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</si>
  <si>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</si>
  <si>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</si>
  <si>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</si>
  <si>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</si>
  <si>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</si>
  <si>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</si>
  <si>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</si>
  <si>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</si>
  <si>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</si>
  <si>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</si>
  <si>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</si>
  <si>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</si>
  <si>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</si>
  <si>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</si>
  <si>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</si>
  <si>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</si>
  <si>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</si>
  <si>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</si>
  <si>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</si>
  <si>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</si>
  <si>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</si>
  <si>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</si>
  <si>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</si>
  <si>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</si>
  <si>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</si>
  <si>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</si>
  <si>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</si>
  <si>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</si>
  <si>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</si>
  <si>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</si>
  <si>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</si>
  <si>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</si>
  <si>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</si>
  <si>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</si>
  <si>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</si>
  <si>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</si>
  <si>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</si>
  <si>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</si>
  <si>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</si>
  <si>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</si>
  <si>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</si>
  <si>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</si>
  <si>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</si>
  <si>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</si>
  <si>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</si>
  <si>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</si>
  <si>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</si>
  <si>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</si>
  <si>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</si>
  <si>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</si>
  <si>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</si>
  <si>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</si>
  <si>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</si>
  <si>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</si>
  <si>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</si>
  <si>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</si>
  <si>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</si>
  <si>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</si>
  <si>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</si>
  <si>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</si>
  <si>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</si>
  <si>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</si>
  <si>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</si>
  <si>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</si>
  <si>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</si>
  <si>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</si>
  <si>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</si>
  <si>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</si>
  <si>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</si>
  <si>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</si>
  <si>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</si>
  <si>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</si>
  <si>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</si>
  <si>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</si>
  <si>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</si>
  <si>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</si>
  <si>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</si>
  <si>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</si>
  <si>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</si>
  <si>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</si>
  <si>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</si>
  <si>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</si>
  <si>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</si>
  <si>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</si>
  <si>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</si>
  <si>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</si>
  <si>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</si>
  <si>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</si>
  <si>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</si>
  <si>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</si>
  <si>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</si>
  <si>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</si>
  <si>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</si>
  <si>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</si>
  <si>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</si>
  <si>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</si>
  <si>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</si>
  <si>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</si>
  <si>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</si>
  <si>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</si>
  <si>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</si>
  <si>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</si>
  <si>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</si>
  <si>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</si>
  <si>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</si>
  <si>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</si>
  <si>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</si>
  <si>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</si>
  <si>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</si>
  <si>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</si>
  <si>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</si>
  <si>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</si>
  <si>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</si>
  <si>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</si>
  <si>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</si>
  <si>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</si>
  <si>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</si>
  <si>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</si>
  <si>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</si>
  <si>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</si>
  <si>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</si>
  <si>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</si>
  <si>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</si>
  <si>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</si>
  <si>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</si>
  <si>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</si>
  <si>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</si>
  <si>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</si>
  <si>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</si>
  <si>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</si>
  <si>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</si>
  <si>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</si>
  <si>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</si>
  <si>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</si>
  <si>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</si>
  <si>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</si>
  <si>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</si>
  <si>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</si>
  <si>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</si>
  <si>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</si>
  <si>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</si>
  <si>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</si>
  <si>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</si>
  <si>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</si>
  <si>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</si>
  <si>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</si>
  <si>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</si>
  <si>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</si>
  <si>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</si>
  <si>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</si>
  <si>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</si>
  <si>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</si>
  <si>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</si>
  <si>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</si>
  <si>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</si>
  <si>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</si>
  <si>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</si>
  <si>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</si>
  <si>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</si>
  <si>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</si>
  <si>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</si>
  <si>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</si>
  <si>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</si>
  <si>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</si>
  <si>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</si>
  <si>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</si>
  <si>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</si>
  <si>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</si>
  <si>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</si>
  <si>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</si>
  <si>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</si>
  <si>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</si>
  <si>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</si>
  <si>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</si>
  <si>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</si>
  <si>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</si>
  <si>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</si>
  <si>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</si>
  <si>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</si>
  <si>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</si>
  <si>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</si>
  <si>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</si>
  <si>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</si>
  <si>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</si>
  <si>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</si>
  <si>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</si>
  <si>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</si>
  <si>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</si>
  <si>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</si>
  <si>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</si>
  <si>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</si>
  <si>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</si>
  <si>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</si>
  <si>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</si>
  <si>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</si>
  <si>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</si>
  <si>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</si>
  <si>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</si>
  <si>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</si>
  <si>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</si>
  <si>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</si>
  <si>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</si>
  <si>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</si>
  <si>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</si>
  <si>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</si>
  <si>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</si>
  <si>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</si>
  <si>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</si>
  <si>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</si>
  <si>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</si>
  <si>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</si>
  <si>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</si>
  <si>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</si>
  <si>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</si>
  <si>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</si>
  <si>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</si>
  <si>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</si>
  <si>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</si>
  <si>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</si>
  <si>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</si>
  <si>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</si>
  <si>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</si>
  <si>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</si>
  <si>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</si>
  <si>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</si>
  <si>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</si>
  <si>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</si>
  <si>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</si>
  <si>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</si>
  <si>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</si>
  <si>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</si>
  <si>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</si>
  <si>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</si>
  <si>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</si>
  <si>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</si>
  <si>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</si>
  <si>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</si>
  <si>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</si>
  <si>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</si>
  <si>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</si>
  <si>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</si>
  <si>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</si>
  <si>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</si>
  <si>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</si>
  <si>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</si>
  <si>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</si>
  <si>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</si>
  <si>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</si>
  <si>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</si>
  <si>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</si>
  <si>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</si>
  <si>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</si>
  <si>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</si>
  <si>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</si>
  <si>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</si>
  <si>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</si>
  <si>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</si>
  <si>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</si>
  <si>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</si>
  <si>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</si>
  <si>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</si>
  <si>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</si>
  <si>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</si>
  <si>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</si>
  <si>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</si>
  <si>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</si>
  <si>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</si>
  <si>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</si>
  <si>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</si>
  <si>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</si>
  <si>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</si>
  <si>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</si>
  <si>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</si>
  <si>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</si>
  <si>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</si>
  <si>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</si>
  <si>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</si>
  <si>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</si>
  <si>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</si>
  <si>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</si>
  <si>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</si>
  <si>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</si>
  <si>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</si>
  <si>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</si>
  <si>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</si>
  <si>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</si>
  <si>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</si>
  <si>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</si>
  <si>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</si>
  <si>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</si>
  <si>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</si>
  <si>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</si>
  <si>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</si>
  <si>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</si>
  <si>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</si>
  <si>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</si>
  <si>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</si>
  <si>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</si>
  <si>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</si>
  <si>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</si>
  <si>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</si>
  <si>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</si>
  <si>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</si>
  <si>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</si>
  <si>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</si>
  <si>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</si>
  <si>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</si>
  <si>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</si>
  <si>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</si>
  <si>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</si>
  <si>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</si>
  <si>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</si>
  <si>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</si>
  <si>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</si>
  <si>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</si>
  <si>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</si>
  <si>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</si>
  <si>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</si>
  <si>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</si>
  <si>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</si>
  <si>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</si>
  <si>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</si>
  <si>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</si>
  <si>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45017</t>
  </si>
  <si>
    <t>KRUISHOUTEM</t>
  </si>
  <si>
    <t>Paarden&amp;pony's 200 - 600 kg</t>
  </si>
  <si>
    <t>Paarden&amp;pony's &lt; 200 kg</t>
  </si>
  <si>
    <t>op basis van VEA (maart 2018) en Inventaris Hernieuwbare Energiebronnen (juni 2018)</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</si>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</sst>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45017</v>
      </c>
      <c r="B6" s="397"/>
      <c r="C6" s="398"/>
    </row>
    <row r="7" spans="1:7" s="395" customFormat="1" ht="15.75" customHeight="1">
      <c r="A7" s="399" t="str">
        <f>txtMunicipality</f>
        <v>KRUISHOUTEM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11052.122922015102</v>
      </c>
      <c r="D10" s="703">
        <f ca="1">tertiair!C16</f>
        <v>0</v>
      </c>
      <c r="E10" s="703">
        <f ca="1">tertiair!D16</f>
        <v>21104.84324837137</v>
      </c>
      <c r="F10" s="703">
        <f>tertiair!E16</f>
        <v>113.47331029235231</v>
      </c>
      <c r="G10" s="703">
        <f ca="1">tertiair!F16</f>
        <v>2006.4169075422485</v>
      </c>
      <c r="H10" s="703">
        <f>tertiair!G16</f>
        <v>0</v>
      </c>
      <c r="I10" s="703">
        <f>tertiair!H16</f>
        <v>0</v>
      </c>
      <c r="J10" s="703">
        <f>tertiair!I16</f>
        <v>0</v>
      </c>
      <c r="K10" s="703">
        <f>tertiair!J16</f>
        <v>0</v>
      </c>
      <c r="L10" s="703">
        <f>tertiair!K16</f>
        <v>0</v>
      </c>
      <c r="M10" s="703">
        <f ca="1">tertiair!L16</f>
        <v>0</v>
      </c>
      <c r="N10" s="703">
        <f>tertiair!M16</f>
        <v>0</v>
      </c>
      <c r="O10" s="703">
        <f ca="1">tertiair!N16</f>
        <v>392.38165205135874</v>
      </c>
      <c r="P10" s="703">
        <f>tertiair!O16</f>
        <v>0</v>
      </c>
      <c r="Q10" s="704">
        <f>tertiair!P16</f>
        <v>0</v>
      </c>
      <c r="R10" s="706">
        <f ca="1">SUM(C10:Q10)</f>
        <v>34669.23804027243</v>
      </c>
      <c r="S10" s="68"/>
    </row>
    <row r="11" spans="1:19" s="458" customFormat="1">
      <c r="A11" s="859" t="s">
        <v>225</v>
      </c>
      <c r="B11" s="864"/>
      <c r="C11" s="703">
        <f>huishoudens!B8</f>
        <v>17445.766605603414</v>
      </c>
      <c r="D11" s="703">
        <f>huishoudens!C8</f>
        <v>0</v>
      </c>
      <c r="E11" s="703">
        <f>huishoudens!D8</f>
        <v>12167.012460711841</v>
      </c>
      <c r="F11" s="703">
        <f>huishoudens!E8</f>
        <v>3359.5020414215869</v>
      </c>
      <c r="G11" s="703">
        <f>huishoudens!F8</f>
        <v>29295.962274250393</v>
      </c>
      <c r="H11" s="703">
        <f>huishoudens!G8</f>
        <v>0</v>
      </c>
      <c r="I11" s="703">
        <f>huishoudens!H8</f>
        <v>0</v>
      </c>
      <c r="J11" s="703">
        <f>huishoudens!I8</f>
        <v>0</v>
      </c>
      <c r="K11" s="703">
        <f>huishoudens!J8</f>
        <v>2584.5198414816759</v>
      </c>
      <c r="L11" s="703">
        <f>huishoudens!K8</f>
        <v>0</v>
      </c>
      <c r="M11" s="703">
        <f>huishoudens!L8</f>
        <v>0</v>
      </c>
      <c r="N11" s="703">
        <f>huishoudens!M8</f>
        <v>0</v>
      </c>
      <c r="O11" s="703">
        <f>huishoudens!N8</f>
        <v>11030.016925289743</v>
      </c>
      <c r="P11" s="703">
        <f>huishoudens!O8</f>
        <v>56.280000000000008</v>
      </c>
      <c r="Q11" s="704">
        <f>huishoudens!P8</f>
        <v>286</v>
      </c>
      <c r="R11" s="706">
        <f>SUM(C11:Q11)</f>
        <v>76225.060148758654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132692.38808911396</v>
      </c>
      <c r="D13" s="703">
        <f>industrie!C18</f>
        <v>1632.8571428571429</v>
      </c>
      <c r="E13" s="703">
        <f>industrie!D18</f>
        <v>120082.29590071685</v>
      </c>
      <c r="F13" s="703">
        <f>industrie!E18</f>
        <v>1216.9333402777111</v>
      </c>
      <c r="G13" s="703">
        <f>industrie!F18</f>
        <v>25481.837841780332</v>
      </c>
      <c r="H13" s="703">
        <f>industrie!G18</f>
        <v>0</v>
      </c>
      <c r="I13" s="703">
        <f>industrie!H18</f>
        <v>0</v>
      </c>
      <c r="J13" s="703">
        <f>industrie!I18</f>
        <v>0</v>
      </c>
      <c r="K13" s="703">
        <f>industrie!J18</f>
        <v>601.78562354000599</v>
      </c>
      <c r="L13" s="703">
        <f>industrie!K18</f>
        <v>0</v>
      </c>
      <c r="M13" s="703">
        <f>industrie!L18</f>
        <v>0</v>
      </c>
      <c r="N13" s="703">
        <f>industrie!M18</f>
        <v>0</v>
      </c>
      <c r="O13" s="703">
        <f>industrie!N18</f>
        <v>4270.9307507417116</v>
      </c>
      <c r="P13" s="703">
        <f>industrie!O18</f>
        <v>0</v>
      </c>
      <c r="Q13" s="704">
        <f>industrie!P18</f>
        <v>0</v>
      </c>
      <c r="R13" s="706">
        <f>SUM(C13:Q13)</f>
        <v>285979.02868902771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161190.27761673246</v>
      </c>
      <c r="D15" s="708">
        <f t="shared" ref="D15:Q15" ca="1" si="0">SUM(D9:D14)</f>
        <v>1632.8571428571429</v>
      </c>
      <c r="E15" s="708">
        <f t="shared" ca="1" si="0"/>
        <v>153354.15160980006</v>
      </c>
      <c r="F15" s="708">
        <f t="shared" si="0"/>
        <v>4689.9086919916499</v>
      </c>
      <c r="G15" s="708">
        <f t="shared" ca="1" si="0"/>
        <v>56784.217023572972</v>
      </c>
      <c r="H15" s="708">
        <f t="shared" si="0"/>
        <v>0</v>
      </c>
      <c r="I15" s="708">
        <f t="shared" si="0"/>
        <v>0</v>
      </c>
      <c r="J15" s="708">
        <f t="shared" si="0"/>
        <v>0</v>
      </c>
      <c r="K15" s="708">
        <f t="shared" si="0"/>
        <v>3186.3054650216818</v>
      </c>
      <c r="L15" s="708">
        <f t="shared" si="0"/>
        <v>0</v>
      </c>
      <c r="M15" s="708">
        <f t="shared" ca="1" si="0"/>
        <v>0</v>
      </c>
      <c r="N15" s="708">
        <f t="shared" si="0"/>
        <v>0</v>
      </c>
      <c r="O15" s="708">
        <f t="shared" ca="1" si="0"/>
        <v>15693.329328082815</v>
      </c>
      <c r="P15" s="708">
        <f t="shared" si="0"/>
        <v>56.280000000000008</v>
      </c>
      <c r="Q15" s="709">
        <f t="shared" si="0"/>
        <v>286</v>
      </c>
      <c r="R15" s="710">
        <f ca="1">SUM(R9:R14)</f>
        <v>396873.32687805878</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494.00272225691401</v>
      </c>
      <c r="I18" s="703">
        <f>transport!H54</f>
        <v>0</v>
      </c>
      <c r="J18" s="703">
        <f>transport!I54</f>
        <v>0</v>
      </c>
      <c r="K18" s="703">
        <f>transport!J54</f>
        <v>0</v>
      </c>
      <c r="L18" s="703">
        <f>transport!K54</f>
        <v>0</v>
      </c>
      <c r="M18" s="703">
        <f>transport!L54</f>
        <v>0</v>
      </c>
      <c r="N18" s="703">
        <f>transport!M54</f>
        <v>21.692474442764873</v>
      </c>
      <c r="O18" s="703">
        <f>transport!N54</f>
        <v>0</v>
      </c>
      <c r="P18" s="703">
        <f>transport!O54</f>
        <v>0</v>
      </c>
      <c r="Q18" s="704">
        <f>transport!P54</f>
        <v>0</v>
      </c>
      <c r="R18" s="706">
        <f>SUM(C18:Q18)</f>
        <v>515.69519669967883</v>
      </c>
      <c r="S18" s="68"/>
    </row>
    <row r="19" spans="1:19" s="458" customFormat="1" ht="15" thickBot="1">
      <c r="A19" s="859" t="s">
        <v>307</v>
      </c>
      <c r="B19" s="864"/>
      <c r="C19" s="712">
        <f>transport!B14</f>
        <v>4.8705289054063714</v>
      </c>
      <c r="D19" s="712">
        <f>transport!C14</f>
        <v>0</v>
      </c>
      <c r="E19" s="712">
        <f>transport!D14</f>
        <v>12.790538086571038</v>
      </c>
      <c r="F19" s="712">
        <f>transport!E14</f>
        <v>879.7370453774131</v>
      </c>
      <c r="G19" s="712">
        <f>transport!F14</f>
        <v>0</v>
      </c>
      <c r="H19" s="712">
        <f>transport!G14</f>
        <v>241689.29322866979</v>
      </c>
      <c r="I19" s="712">
        <f>transport!H14</f>
        <v>29736.759979026505</v>
      </c>
      <c r="J19" s="712">
        <f>transport!I14</f>
        <v>0</v>
      </c>
      <c r="K19" s="712">
        <f>transport!J14</f>
        <v>0</v>
      </c>
      <c r="L19" s="712">
        <f>transport!K14</f>
        <v>0</v>
      </c>
      <c r="M19" s="712">
        <f>transport!L14</f>
        <v>0</v>
      </c>
      <c r="N19" s="712">
        <f>transport!M14</f>
        <v>12122.825739973498</v>
      </c>
      <c r="O19" s="712">
        <f>transport!N14</f>
        <v>0</v>
      </c>
      <c r="P19" s="712">
        <f>transport!O14</f>
        <v>0</v>
      </c>
      <c r="Q19" s="713">
        <f>transport!P14</f>
        <v>0</v>
      </c>
      <c r="R19" s="714">
        <f>SUM(C19:Q19)</f>
        <v>284446.27706003917</v>
      </c>
      <c r="S19" s="68"/>
    </row>
    <row r="20" spans="1:19" s="458" customFormat="1" ht="15.75" thickBot="1">
      <c r="A20" s="715" t="s">
        <v>230</v>
      </c>
      <c r="B20" s="867"/>
      <c r="C20" s="862">
        <f>SUM(C17:C19)</f>
        <v>4.8705289054063714</v>
      </c>
      <c r="D20" s="716">
        <f t="shared" ref="D20:R20" si="1">SUM(D17:D19)</f>
        <v>0</v>
      </c>
      <c r="E20" s="716">
        <f t="shared" si="1"/>
        <v>12.790538086571038</v>
      </c>
      <c r="F20" s="716">
        <f t="shared" si="1"/>
        <v>879.7370453774131</v>
      </c>
      <c r="G20" s="716">
        <f t="shared" si="1"/>
        <v>0</v>
      </c>
      <c r="H20" s="716">
        <f t="shared" si="1"/>
        <v>242183.29595092669</v>
      </c>
      <c r="I20" s="716">
        <f t="shared" si="1"/>
        <v>29736.759979026505</v>
      </c>
      <c r="J20" s="716">
        <f t="shared" si="1"/>
        <v>0</v>
      </c>
      <c r="K20" s="716">
        <f t="shared" si="1"/>
        <v>0</v>
      </c>
      <c r="L20" s="716">
        <f t="shared" si="1"/>
        <v>0</v>
      </c>
      <c r="M20" s="716">
        <f t="shared" si="1"/>
        <v>0</v>
      </c>
      <c r="N20" s="716">
        <f t="shared" si="1"/>
        <v>12144.518214416263</v>
      </c>
      <c r="O20" s="716">
        <f t="shared" si="1"/>
        <v>0</v>
      </c>
      <c r="P20" s="716">
        <f t="shared" si="1"/>
        <v>0</v>
      </c>
      <c r="Q20" s="717">
        <f t="shared" si="1"/>
        <v>0</v>
      </c>
      <c r="R20" s="718">
        <f t="shared" si="1"/>
        <v>284961.97225673887</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2639.1823403357562</v>
      </c>
      <c r="D22" s="712">
        <f>+landbouw!C8</f>
        <v>0</v>
      </c>
      <c r="E22" s="712">
        <f>+landbouw!D8</f>
        <v>1112.5205661006821</v>
      </c>
      <c r="F22" s="712">
        <f>+landbouw!E8</f>
        <v>24.862865956136893</v>
      </c>
      <c r="G22" s="712">
        <f>+landbouw!F8</f>
        <v>8612.5278442127692</v>
      </c>
      <c r="H22" s="712">
        <f>+landbouw!G8</f>
        <v>0</v>
      </c>
      <c r="I22" s="712">
        <f>+landbouw!H8</f>
        <v>0</v>
      </c>
      <c r="J22" s="712">
        <f>+landbouw!I8</f>
        <v>0</v>
      </c>
      <c r="K22" s="712">
        <f>+landbouw!J8</f>
        <v>326.47969247997048</v>
      </c>
      <c r="L22" s="712">
        <f>+landbouw!K8</f>
        <v>0</v>
      </c>
      <c r="M22" s="712">
        <f>+landbouw!L8</f>
        <v>0</v>
      </c>
      <c r="N22" s="712">
        <f>+landbouw!M8</f>
        <v>0</v>
      </c>
      <c r="O22" s="712">
        <f>+landbouw!N8</f>
        <v>0</v>
      </c>
      <c r="P22" s="712">
        <f>+landbouw!O8</f>
        <v>0</v>
      </c>
      <c r="Q22" s="713">
        <f>+landbouw!P8</f>
        <v>0</v>
      </c>
      <c r="R22" s="714">
        <f>SUM(C22:Q22)</f>
        <v>12715.573309085314</v>
      </c>
      <c r="S22" s="68"/>
    </row>
    <row r="23" spans="1:19" s="458" customFormat="1" ht="17.25" thickTop="1" thickBot="1">
      <c r="A23" s="719" t="s">
        <v>116</v>
      </c>
      <c r="B23" s="853"/>
      <c r="C23" s="720">
        <f ca="1">C20+C15+C22</f>
        <v>163834.33048597365</v>
      </c>
      <c r="D23" s="720">
        <f t="shared" ref="D23:Q23" ca="1" si="2">D20+D15+D22</f>
        <v>1632.8571428571429</v>
      </c>
      <c r="E23" s="720">
        <f t="shared" ca="1" si="2"/>
        <v>154479.46271398733</v>
      </c>
      <c r="F23" s="720">
        <f t="shared" si="2"/>
        <v>5594.5086033252001</v>
      </c>
      <c r="G23" s="720">
        <f t="shared" ca="1" si="2"/>
        <v>65396.744867785739</v>
      </c>
      <c r="H23" s="720">
        <f t="shared" si="2"/>
        <v>242183.29595092669</v>
      </c>
      <c r="I23" s="720">
        <f t="shared" si="2"/>
        <v>29736.759979026505</v>
      </c>
      <c r="J23" s="720">
        <f t="shared" si="2"/>
        <v>0</v>
      </c>
      <c r="K23" s="720">
        <f t="shared" si="2"/>
        <v>3512.7851575016521</v>
      </c>
      <c r="L23" s="720">
        <f t="shared" si="2"/>
        <v>0</v>
      </c>
      <c r="M23" s="720">
        <f t="shared" ca="1" si="2"/>
        <v>0</v>
      </c>
      <c r="N23" s="720">
        <f t="shared" si="2"/>
        <v>12144.518214416263</v>
      </c>
      <c r="O23" s="720">
        <f t="shared" ca="1" si="2"/>
        <v>15693.329328082815</v>
      </c>
      <c r="P23" s="720">
        <f t="shared" si="2"/>
        <v>56.280000000000008</v>
      </c>
      <c r="Q23" s="721">
        <f t="shared" si="2"/>
        <v>286</v>
      </c>
      <c r="R23" s="722">
        <f ca="1">R20+R15+R22</f>
        <v>694550.87244388298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2353.332223025026</v>
      </c>
      <c r="D36" s="703">
        <f ca="1">tertiair!C20</f>
        <v>0</v>
      </c>
      <c r="E36" s="703">
        <f ca="1">tertiair!D20</f>
        <v>4263.1783361710168</v>
      </c>
      <c r="F36" s="703">
        <f>tertiair!E20</f>
        <v>25.758441436363974</v>
      </c>
      <c r="G36" s="703">
        <f ca="1">tertiair!F20</f>
        <v>535.71331431378042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7177.9823149461872</v>
      </c>
    </row>
    <row r="37" spans="1:18">
      <c r="A37" s="874" t="s">
        <v>225</v>
      </c>
      <c r="B37" s="881"/>
      <c r="C37" s="703">
        <f ca="1">huishoudens!B12</f>
        <v>3714.7329067938817</v>
      </c>
      <c r="D37" s="703">
        <f ca="1">huishoudens!C12</f>
        <v>0</v>
      </c>
      <c r="E37" s="703">
        <f>huishoudens!D12</f>
        <v>2457.7365170637922</v>
      </c>
      <c r="F37" s="703">
        <f>huishoudens!E12</f>
        <v>762.60696340270022</v>
      </c>
      <c r="G37" s="703">
        <f>huishoudens!F12</f>
        <v>7822.0219272248551</v>
      </c>
      <c r="H37" s="703">
        <f>huishoudens!G12</f>
        <v>0</v>
      </c>
      <c r="I37" s="703">
        <f>huishoudens!H12</f>
        <v>0</v>
      </c>
      <c r="J37" s="703">
        <f>huishoudens!I12</f>
        <v>0</v>
      </c>
      <c r="K37" s="703">
        <f>huishoudens!J12</f>
        <v>914.92002388451328</v>
      </c>
      <c r="L37" s="703">
        <f>huishoudens!K12</f>
        <v>0</v>
      </c>
      <c r="M37" s="703">
        <f>huishoudens!L12</f>
        <v>0</v>
      </c>
      <c r="N37" s="703">
        <f>huishoudens!M12</f>
        <v>0</v>
      </c>
      <c r="O37" s="703">
        <f>huishoudens!N12</f>
        <v>0</v>
      </c>
      <c r="P37" s="703">
        <f>huishoudens!O12</f>
        <v>0</v>
      </c>
      <c r="Q37" s="813">
        <f>huishoudens!P12</f>
        <v>0</v>
      </c>
      <c r="R37" s="906">
        <f ca="1">SUM(C37:Q37)</f>
        <v>15672.018338369742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28254.234489035061</v>
      </c>
      <c r="D39" s="703">
        <f ca="1">industrie!C22</f>
        <v>388.04369747899159</v>
      </c>
      <c r="E39" s="703">
        <f>industrie!D22</f>
        <v>24256.623771944807</v>
      </c>
      <c r="F39" s="703">
        <f>industrie!E22</f>
        <v>276.24386824304042</v>
      </c>
      <c r="G39" s="703">
        <f>industrie!F22</f>
        <v>6803.6507037553492</v>
      </c>
      <c r="H39" s="703">
        <f>industrie!G22</f>
        <v>0</v>
      </c>
      <c r="I39" s="703">
        <f>industrie!H22</f>
        <v>0</v>
      </c>
      <c r="J39" s="703">
        <f>industrie!I22</f>
        <v>0</v>
      </c>
      <c r="K39" s="703">
        <f>industrie!J22</f>
        <v>213.03211073316211</v>
      </c>
      <c r="L39" s="703">
        <f>industrie!K22</f>
        <v>0</v>
      </c>
      <c r="M39" s="703">
        <f>industrie!L22</f>
        <v>0</v>
      </c>
      <c r="N39" s="703">
        <f>industrie!M22</f>
        <v>0</v>
      </c>
      <c r="O39" s="703">
        <f>industrie!N22</f>
        <v>0</v>
      </c>
      <c r="P39" s="703">
        <f>industrie!O22</f>
        <v>0</v>
      </c>
      <c r="Q39" s="813">
        <f>industrie!P22</f>
        <v>0</v>
      </c>
      <c r="R39" s="907">
        <f ca="1">SUM(C39:Q39)</f>
        <v>60191.828641190419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34322.299618853969</v>
      </c>
      <c r="D41" s="748">
        <f t="shared" ref="D41:R41" ca="1" si="4">SUM(D35:D40)</f>
        <v>388.04369747899159</v>
      </c>
      <c r="E41" s="748">
        <f t="shared" ca="1" si="4"/>
        <v>30977.538625179615</v>
      </c>
      <c r="F41" s="748">
        <f t="shared" si="4"/>
        <v>1064.6092730821047</v>
      </c>
      <c r="G41" s="748">
        <f t="shared" ca="1" si="4"/>
        <v>15161.385945293985</v>
      </c>
      <c r="H41" s="748">
        <f t="shared" si="4"/>
        <v>0</v>
      </c>
      <c r="I41" s="748">
        <f t="shared" si="4"/>
        <v>0</v>
      </c>
      <c r="J41" s="748">
        <f t="shared" si="4"/>
        <v>0</v>
      </c>
      <c r="K41" s="748">
        <f t="shared" si="4"/>
        <v>1127.9521346176755</v>
      </c>
      <c r="L41" s="748">
        <f t="shared" si="4"/>
        <v>0</v>
      </c>
      <c r="M41" s="748">
        <f t="shared" ca="1" si="4"/>
        <v>0</v>
      </c>
      <c r="N41" s="748">
        <f t="shared" si="4"/>
        <v>0</v>
      </c>
      <c r="O41" s="748">
        <f t="shared" ca="1" si="4"/>
        <v>0</v>
      </c>
      <c r="P41" s="748">
        <f t="shared" si="4"/>
        <v>0</v>
      </c>
      <c r="Q41" s="749">
        <f t="shared" si="4"/>
        <v>0</v>
      </c>
      <c r="R41" s="750">
        <f t="shared" ca="1" si="4"/>
        <v>83041.829294506344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131.89872684259606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131.89872684259606</v>
      </c>
    </row>
    <row r="45" spans="1:18" ht="15" thickBot="1">
      <c r="A45" s="877" t="s">
        <v>307</v>
      </c>
      <c r="B45" s="887"/>
      <c r="C45" s="712">
        <f ca="1">transport!B18</f>
        <v>1.0370833456291124</v>
      </c>
      <c r="D45" s="712">
        <f>transport!C18</f>
        <v>0</v>
      </c>
      <c r="E45" s="712">
        <f>transport!D18</f>
        <v>2.5836886934873498</v>
      </c>
      <c r="F45" s="712">
        <f>transport!E18</f>
        <v>199.70030930067279</v>
      </c>
      <c r="G45" s="712">
        <f>transport!F18</f>
        <v>0</v>
      </c>
      <c r="H45" s="712">
        <f>transport!G18</f>
        <v>64531.041292054841</v>
      </c>
      <c r="I45" s="712">
        <f>transport!H18</f>
        <v>7404.4532347775994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72138.815608172226</v>
      </c>
    </row>
    <row r="46" spans="1:18" ht="15.75" thickBot="1">
      <c r="A46" s="875" t="s">
        <v>230</v>
      </c>
      <c r="B46" s="888"/>
      <c r="C46" s="748">
        <f t="shared" ref="C46:R46" ca="1" si="5">SUM(C43:C45)</f>
        <v>1.0370833456291124</v>
      </c>
      <c r="D46" s="748">
        <f t="shared" ca="1" si="5"/>
        <v>0</v>
      </c>
      <c r="E46" s="748">
        <f t="shared" si="5"/>
        <v>2.5836886934873498</v>
      </c>
      <c r="F46" s="748">
        <f t="shared" si="5"/>
        <v>199.70030930067279</v>
      </c>
      <c r="G46" s="748">
        <f t="shared" si="5"/>
        <v>0</v>
      </c>
      <c r="H46" s="748">
        <f t="shared" si="5"/>
        <v>64662.94001889744</v>
      </c>
      <c r="I46" s="748">
        <f t="shared" si="5"/>
        <v>7404.4532347775994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72270.714335014825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561.96197669672006</v>
      </c>
      <c r="D48" s="703">
        <f ca="1">+landbouw!C12</f>
        <v>0</v>
      </c>
      <c r="E48" s="703">
        <f>+landbouw!D12</f>
        <v>224.72915435233782</v>
      </c>
      <c r="F48" s="703">
        <f>+landbouw!E12</f>
        <v>5.6438705720430749</v>
      </c>
      <c r="G48" s="703">
        <f>+landbouw!F12</f>
        <v>2299.5449344048093</v>
      </c>
      <c r="H48" s="703">
        <f>+landbouw!G12</f>
        <v>0</v>
      </c>
      <c r="I48" s="703">
        <f>+landbouw!H12</f>
        <v>0</v>
      </c>
      <c r="J48" s="703">
        <f>+landbouw!I12</f>
        <v>0</v>
      </c>
      <c r="K48" s="703">
        <f>+landbouw!J12</f>
        <v>115.57381113790954</v>
      </c>
      <c r="L48" s="703">
        <f>+landbouw!K12</f>
        <v>0</v>
      </c>
      <c r="M48" s="703">
        <f>+landbouw!L12</f>
        <v>0</v>
      </c>
      <c r="N48" s="703">
        <f>+landbouw!M12</f>
        <v>0</v>
      </c>
      <c r="O48" s="703">
        <f>+landbouw!N12</f>
        <v>0</v>
      </c>
      <c r="P48" s="703">
        <f>+landbouw!O12</f>
        <v>0</v>
      </c>
      <c r="Q48" s="704">
        <f>+landbouw!P12</f>
        <v>0</v>
      </c>
      <c r="R48" s="746">
        <f ca="1">SUM(C48:Q48)</f>
        <v>3207.4537471638196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34885.298678896324</v>
      </c>
      <c r="D53" s="758">
        <f t="shared" ref="D53:Q53" ca="1" si="6">D41+D46+D48</f>
        <v>388.04369747899159</v>
      </c>
      <c r="E53" s="758">
        <f t="shared" ca="1" si="6"/>
        <v>31204.851468225443</v>
      </c>
      <c r="F53" s="758">
        <f t="shared" si="6"/>
        <v>1269.9534529548207</v>
      </c>
      <c r="G53" s="758">
        <f t="shared" ca="1" si="6"/>
        <v>17460.930879698793</v>
      </c>
      <c r="H53" s="758">
        <f t="shared" si="6"/>
        <v>64662.94001889744</v>
      </c>
      <c r="I53" s="758">
        <f t="shared" si="6"/>
        <v>7404.4532347775994</v>
      </c>
      <c r="J53" s="758">
        <f t="shared" si="6"/>
        <v>0</v>
      </c>
      <c r="K53" s="758">
        <f t="shared" si="6"/>
        <v>1243.5259457555851</v>
      </c>
      <c r="L53" s="758">
        <f t="shared" si="6"/>
        <v>0</v>
      </c>
      <c r="M53" s="758">
        <f t="shared" ca="1" si="6"/>
        <v>0</v>
      </c>
      <c r="N53" s="758">
        <f t="shared" si="6"/>
        <v>0</v>
      </c>
      <c r="O53" s="758">
        <f t="shared" ca="1" si="6"/>
        <v>0</v>
      </c>
      <c r="P53" s="758">
        <f>P41+P46+P48</f>
        <v>0</v>
      </c>
      <c r="Q53" s="759">
        <f t="shared" si="6"/>
        <v>0</v>
      </c>
      <c r="R53" s="760">
        <f ca="1">R41+R46+R48</f>
        <v>158519.99737668497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0.21293033380377477</v>
      </c>
      <c r="D55" s="824">
        <f t="shared" ca="1" si="7"/>
        <v>0.23764705882352941</v>
      </c>
      <c r="E55" s="824">
        <f t="shared" ca="1" si="7"/>
        <v>0.20200000000000001</v>
      </c>
      <c r="F55" s="824">
        <f t="shared" si="7"/>
        <v>0.22700000000000006</v>
      </c>
      <c r="G55" s="824">
        <f t="shared" ca="1" si="7"/>
        <v>0.26700000000000002</v>
      </c>
      <c r="H55" s="824">
        <f t="shared" si="7"/>
        <v>0.26700000000000007</v>
      </c>
      <c r="I55" s="824">
        <f t="shared" si="7"/>
        <v>0.249</v>
      </c>
      <c r="J55" s="824">
        <f t="shared" si="7"/>
        <v>0</v>
      </c>
      <c r="K55" s="824">
        <f t="shared" si="7"/>
        <v>0.35400000000000009</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6068.3979490459305</v>
      </c>
      <c r="C66" s="780">
        <f>'lokale energieproductie'!B6</f>
        <v>6068.3979490459305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1143</v>
      </c>
      <c r="C67" s="779">
        <f>B67*IFERROR(SUM(J67:L67)/SUM(D67:M67),0)</f>
        <v>0</v>
      </c>
      <c r="D67" s="811">
        <f>'lokale energieproductie'!C7</f>
        <v>1344.7058823529412</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271.63058823529417</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7211.3979490459305</v>
      </c>
      <c r="C69" s="788">
        <f>SUM(C64:C68)</f>
        <v>6068.3979490459305</v>
      </c>
      <c r="D69" s="789">
        <f t="shared" ref="D69:M69" si="8">SUM(D67:D68)</f>
        <v>1344.7058823529412</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271.63058823529417</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1632.8571428571429</v>
      </c>
      <c r="C78" s="802">
        <f>B78*IFERROR(SUM(I78:L78)/SUM(D78:M78),0)</f>
        <v>0</v>
      </c>
      <c r="D78" s="817">
        <f>'lokale energieproductie'!C16</f>
        <v>1921.0084033613443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388.04369747899159</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1632.8571428571429</v>
      </c>
      <c r="C81" s="788">
        <f>SUM(C78:C80)</f>
        <v>0</v>
      </c>
      <c r="D81" s="788">
        <f t="shared" ref="D81:P81" si="9">SUM(D78:D80)</f>
        <v>1921.0084033613443</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388.04369747899159</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17445.766605603414</v>
      </c>
      <c r="C4" s="462">
        <f>huishoudens!C8</f>
        <v>0</v>
      </c>
      <c r="D4" s="462">
        <f>huishoudens!D8</f>
        <v>12167.012460711841</v>
      </c>
      <c r="E4" s="462">
        <f>huishoudens!E8</f>
        <v>3359.5020414215869</v>
      </c>
      <c r="F4" s="462">
        <f>huishoudens!F8</f>
        <v>29295.962274250393</v>
      </c>
      <c r="G4" s="462">
        <f>huishoudens!G8</f>
        <v>0</v>
      </c>
      <c r="H4" s="462">
        <f>huishoudens!H8</f>
        <v>0</v>
      </c>
      <c r="I4" s="462">
        <f>huishoudens!I8</f>
        <v>0</v>
      </c>
      <c r="J4" s="462">
        <f>huishoudens!J8</f>
        <v>2584.5198414816759</v>
      </c>
      <c r="K4" s="462">
        <f>huishoudens!K8</f>
        <v>0</v>
      </c>
      <c r="L4" s="462">
        <f>huishoudens!L8</f>
        <v>0</v>
      </c>
      <c r="M4" s="462">
        <f>huishoudens!M8</f>
        <v>0</v>
      </c>
      <c r="N4" s="462">
        <f>huishoudens!N8</f>
        <v>11030.016925289743</v>
      </c>
      <c r="O4" s="462">
        <f>huishoudens!O8</f>
        <v>56.280000000000008</v>
      </c>
      <c r="P4" s="463">
        <f>huishoudens!P8</f>
        <v>286</v>
      </c>
      <c r="Q4" s="464">
        <f>SUM(B4:P4)</f>
        <v>76225.060148758654</v>
      </c>
    </row>
    <row r="5" spans="1:17">
      <c r="A5" s="461" t="s">
        <v>156</v>
      </c>
      <c r="B5" s="462">
        <f ca="1">tertiair!B16</f>
        <v>10274.166922015102</v>
      </c>
      <c r="C5" s="462">
        <f ca="1">tertiair!C16</f>
        <v>0</v>
      </c>
      <c r="D5" s="462">
        <f ca="1">tertiair!D16</f>
        <v>21104.84324837137</v>
      </c>
      <c r="E5" s="462">
        <f>tertiair!E16</f>
        <v>113.47331029235231</v>
      </c>
      <c r="F5" s="462">
        <f ca="1">tertiair!F16</f>
        <v>2006.4169075422485</v>
      </c>
      <c r="G5" s="462">
        <f>tertiair!G16</f>
        <v>0</v>
      </c>
      <c r="H5" s="462">
        <f>tertiair!H16</f>
        <v>0</v>
      </c>
      <c r="I5" s="462">
        <f>tertiair!I16</f>
        <v>0</v>
      </c>
      <c r="J5" s="462">
        <f>tertiair!J16</f>
        <v>0</v>
      </c>
      <c r="K5" s="462">
        <f>tertiair!K16</f>
        <v>0</v>
      </c>
      <c r="L5" s="462">
        <f ca="1">tertiair!L16</f>
        <v>0</v>
      </c>
      <c r="M5" s="462">
        <f>tertiair!M16</f>
        <v>0</v>
      </c>
      <c r="N5" s="462">
        <f ca="1">tertiair!N16</f>
        <v>392.38165205135874</v>
      </c>
      <c r="O5" s="462">
        <f>tertiair!O16</f>
        <v>0</v>
      </c>
      <c r="P5" s="463">
        <f>tertiair!P16</f>
        <v>0</v>
      </c>
      <c r="Q5" s="461">
        <f t="shared" ref="Q5:Q13" ca="1" si="0">SUM(B5:P5)</f>
        <v>33891.282040272432</v>
      </c>
    </row>
    <row r="6" spans="1:17">
      <c r="A6" s="461" t="s">
        <v>194</v>
      </c>
      <c r="B6" s="462">
        <f>'openbare verlichting'!B8</f>
        <v>777.95600000000002</v>
      </c>
      <c r="C6" s="462"/>
      <c r="D6" s="462"/>
      <c r="E6" s="462"/>
      <c r="F6" s="462"/>
      <c r="G6" s="462"/>
      <c r="H6" s="462"/>
      <c r="I6" s="462"/>
      <c r="J6" s="462"/>
      <c r="K6" s="462"/>
      <c r="L6" s="462"/>
      <c r="M6" s="462"/>
      <c r="N6" s="462"/>
      <c r="O6" s="462"/>
      <c r="P6" s="463"/>
      <c r="Q6" s="461">
        <f t="shared" si="0"/>
        <v>777.95600000000002</v>
      </c>
    </row>
    <row r="7" spans="1:17">
      <c r="A7" s="461" t="s">
        <v>112</v>
      </c>
      <c r="B7" s="462">
        <f>landbouw!B8</f>
        <v>2639.1823403357562</v>
      </c>
      <c r="C7" s="462">
        <f>landbouw!C8</f>
        <v>0</v>
      </c>
      <c r="D7" s="462">
        <f>landbouw!D8</f>
        <v>1112.5205661006821</v>
      </c>
      <c r="E7" s="462">
        <f>landbouw!E8</f>
        <v>24.862865956136893</v>
      </c>
      <c r="F7" s="462">
        <f>landbouw!F8</f>
        <v>8612.5278442127692</v>
      </c>
      <c r="G7" s="462">
        <f>landbouw!G8</f>
        <v>0</v>
      </c>
      <c r="H7" s="462">
        <f>landbouw!H8</f>
        <v>0</v>
      </c>
      <c r="I7" s="462">
        <f>landbouw!I8</f>
        <v>0</v>
      </c>
      <c r="J7" s="462">
        <f>landbouw!J8</f>
        <v>326.47969247997048</v>
      </c>
      <c r="K7" s="462">
        <f>landbouw!K8</f>
        <v>0</v>
      </c>
      <c r="L7" s="462">
        <f>landbouw!L8</f>
        <v>0</v>
      </c>
      <c r="M7" s="462">
        <f>landbouw!M8</f>
        <v>0</v>
      </c>
      <c r="N7" s="462">
        <f>landbouw!N8</f>
        <v>0</v>
      </c>
      <c r="O7" s="462">
        <f>landbouw!O8</f>
        <v>0</v>
      </c>
      <c r="P7" s="463">
        <f>landbouw!P8</f>
        <v>0</v>
      </c>
      <c r="Q7" s="461">
        <f t="shared" si="0"/>
        <v>12715.573309085314</v>
      </c>
    </row>
    <row r="8" spans="1:17">
      <c r="A8" s="461" t="s">
        <v>685</v>
      </c>
      <c r="B8" s="462">
        <f>industrie!B18</f>
        <v>132692.38808911396</v>
      </c>
      <c r="C8" s="462">
        <f>industrie!C18</f>
        <v>1632.8571428571429</v>
      </c>
      <c r="D8" s="462">
        <f>industrie!D18</f>
        <v>120082.29590071685</v>
      </c>
      <c r="E8" s="462">
        <f>industrie!E18</f>
        <v>1216.9333402777111</v>
      </c>
      <c r="F8" s="462">
        <f>industrie!F18</f>
        <v>25481.837841780332</v>
      </c>
      <c r="G8" s="462">
        <f>industrie!G18</f>
        <v>0</v>
      </c>
      <c r="H8" s="462">
        <f>industrie!H18</f>
        <v>0</v>
      </c>
      <c r="I8" s="462">
        <f>industrie!I18</f>
        <v>0</v>
      </c>
      <c r="J8" s="462">
        <f>industrie!J18</f>
        <v>601.78562354000599</v>
      </c>
      <c r="K8" s="462">
        <f>industrie!K18</f>
        <v>0</v>
      </c>
      <c r="L8" s="462">
        <f>industrie!L18</f>
        <v>0</v>
      </c>
      <c r="M8" s="462">
        <f>industrie!M18</f>
        <v>0</v>
      </c>
      <c r="N8" s="462">
        <f>industrie!N18</f>
        <v>4270.9307507417116</v>
      </c>
      <c r="O8" s="462">
        <f>industrie!O18</f>
        <v>0</v>
      </c>
      <c r="P8" s="463">
        <f>industrie!P18</f>
        <v>0</v>
      </c>
      <c r="Q8" s="461">
        <f t="shared" si="0"/>
        <v>285979.02868902771</v>
      </c>
    </row>
    <row r="9" spans="1:17" s="467" customFormat="1">
      <c r="A9" s="465" t="s">
        <v>579</v>
      </c>
      <c r="B9" s="466">
        <f>transport!B14</f>
        <v>4.8705289054063714</v>
      </c>
      <c r="C9" s="466"/>
      <c r="D9" s="466">
        <f>transport!D14</f>
        <v>12.790538086571038</v>
      </c>
      <c r="E9" s="466">
        <f>transport!E14</f>
        <v>879.7370453774131</v>
      </c>
      <c r="F9" s="466"/>
      <c r="G9" s="466">
        <f>transport!G14</f>
        <v>241689.29322866979</v>
      </c>
      <c r="H9" s="466">
        <f>transport!H14</f>
        <v>29736.759979026505</v>
      </c>
      <c r="I9" s="466"/>
      <c r="J9" s="466"/>
      <c r="K9" s="466"/>
      <c r="L9" s="466"/>
      <c r="M9" s="466">
        <f>transport!M14</f>
        <v>12122.825739973498</v>
      </c>
      <c r="N9" s="466"/>
      <c r="O9" s="466"/>
      <c r="P9" s="466"/>
      <c r="Q9" s="465">
        <f>SUM(B9:P9)</f>
        <v>284446.27706003917</v>
      </c>
    </row>
    <row r="10" spans="1:17">
      <c r="A10" s="461" t="s">
        <v>569</v>
      </c>
      <c r="B10" s="462">
        <f>transport!B54</f>
        <v>0</v>
      </c>
      <c r="C10" s="462"/>
      <c r="D10" s="462">
        <f>transport!D54</f>
        <v>0</v>
      </c>
      <c r="E10" s="462"/>
      <c r="F10" s="462"/>
      <c r="G10" s="462">
        <f>transport!G54</f>
        <v>494.00272225691401</v>
      </c>
      <c r="H10" s="462"/>
      <c r="I10" s="462"/>
      <c r="J10" s="462"/>
      <c r="K10" s="462"/>
      <c r="L10" s="462"/>
      <c r="M10" s="462">
        <f>transport!M54</f>
        <v>21.692474442764873</v>
      </c>
      <c r="N10" s="462"/>
      <c r="O10" s="462"/>
      <c r="P10" s="463"/>
      <c r="Q10" s="461">
        <f t="shared" si="0"/>
        <v>515.69519669967883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163834.33048597365</v>
      </c>
      <c r="C14" s="472">
        <f t="shared" ref="C14:Q14" ca="1" si="1">SUM(C4:C13)</f>
        <v>1632.8571428571429</v>
      </c>
      <c r="D14" s="472">
        <f t="shared" ca="1" si="1"/>
        <v>154479.46271398733</v>
      </c>
      <c r="E14" s="472">
        <f t="shared" si="1"/>
        <v>5594.5086033252001</v>
      </c>
      <c r="F14" s="472">
        <f t="shared" ca="1" si="1"/>
        <v>65396.744867785739</v>
      </c>
      <c r="G14" s="472">
        <f t="shared" si="1"/>
        <v>242183.29595092669</v>
      </c>
      <c r="H14" s="472">
        <f t="shared" si="1"/>
        <v>29736.759979026505</v>
      </c>
      <c r="I14" s="472">
        <f t="shared" si="1"/>
        <v>0</v>
      </c>
      <c r="J14" s="472">
        <f t="shared" si="1"/>
        <v>3512.7851575016521</v>
      </c>
      <c r="K14" s="472">
        <f t="shared" si="1"/>
        <v>0</v>
      </c>
      <c r="L14" s="472">
        <f t="shared" ca="1" si="1"/>
        <v>0</v>
      </c>
      <c r="M14" s="472">
        <f t="shared" si="1"/>
        <v>12144.518214416263</v>
      </c>
      <c r="N14" s="472">
        <f t="shared" ca="1" si="1"/>
        <v>15693.329328082815</v>
      </c>
      <c r="O14" s="472">
        <f t="shared" si="1"/>
        <v>56.280000000000008</v>
      </c>
      <c r="P14" s="473">
        <f t="shared" si="1"/>
        <v>286</v>
      </c>
      <c r="Q14" s="473">
        <f t="shared" ca="1" si="1"/>
        <v>694550.87244388298</v>
      </c>
    </row>
    <row r="16" spans="1:17">
      <c r="A16" s="475" t="s">
        <v>574</v>
      </c>
      <c r="B16" s="829">
        <f ca="1">huishoudens!B10</f>
        <v>0.21293033380377477</v>
      </c>
      <c r="C16" s="829">
        <f ca="1">huishoudens!C10</f>
        <v>0.23764705882352941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3714.7329067938817</v>
      </c>
      <c r="C21" s="462">
        <f t="shared" ref="C21:C28" ca="1" si="3">C4*$C$16</f>
        <v>0</v>
      </c>
      <c r="D21" s="462">
        <f t="shared" ref="D21:D30" si="4">D4*$D$16</f>
        <v>2457.7365170637922</v>
      </c>
      <c r="E21" s="462">
        <f t="shared" ref="E21:E30" si="5">E4*$E$16</f>
        <v>762.60696340270022</v>
      </c>
      <c r="F21" s="462">
        <f t="shared" ref="F21:F28" si="6">F4*$F$16</f>
        <v>7822.0219272248551</v>
      </c>
      <c r="G21" s="462">
        <f t="shared" ref="G21:G30" si="7">G4*$G$16</f>
        <v>0</v>
      </c>
      <c r="H21" s="462">
        <f t="shared" ref="H21:H30" si="8">H4*$H$16</f>
        <v>0</v>
      </c>
      <c r="I21" s="462">
        <f t="shared" ref="I21:I28" si="9">I4*$I$16</f>
        <v>0</v>
      </c>
      <c r="J21" s="462">
        <f t="shared" ref="J21:J28" si="10">J4*$J$16</f>
        <v>914.92002388451328</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15672.018338369742</v>
      </c>
    </row>
    <row r="22" spans="1:17">
      <c r="A22" s="461" t="s">
        <v>156</v>
      </c>
      <c r="B22" s="462">
        <f t="shared" ca="1" si="2"/>
        <v>2187.6817922603768</v>
      </c>
      <c r="C22" s="462">
        <f t="shared" ca="1" si="3"/>
        <v>0</v>
      </c>
      <c r="D22" s="462">
        <f t="shared" ca="1" si="4"/>
        <v>4263.1783361710168</v>
      </c>
      <c r="E22" s="462">
        <f t="shared" si="5"/>
        <v>25.758441436363974</v>
      </c>
      <c r="F22" s="462">
        <f t="shared" ca="1" si="6"/>
        <v>535.71331431378042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7012.331884181538</v>
      </c>
    </row>
    <row r="23" spans="1:17">
      <c r="A23" s="461" t="s">
        <v>194</v>
      </c>
      <c r="B23" s="462">
        <f t="shared" ca="1" si="2"/>
        <v>165.6504307646494</v>
      </c>
      <c r="C23" s="462"/>
      <c r="D23" s="462"/>
      <c r="E23" s="462"/>
      <c r="F23" s="462"/>
      <c r="G23" s="462"/>
      <c r="H23" s="462"/>
      <c r="I23" s="462"/>
      <c r="J23" s="462"/>
      <c r="K23" s="462"/>
      <c r="L23" s="462"/>
      <c r="M23" s="462"/>
      <c r="N23" s="462"/>
      <c r="O23" s="462"/>
      <c r="P23" s="463"/>
      <c r="Q23" s="461">
        <f t="shared" ca="1" si="17"/>
        <v>165.6504307646494</v>
      </c>
    </row>
    <row r="24" spans="1:17">
      <c r="A24" s="461" t="s">
        <v>112</v>
      </c>
      <c r="B24" s="462">
        <f t="shared" ca="1" si="2"/>
        <v>561.96197669672006</v>
      </c>
      <c r="C24" s="462">
        <f t="shared" ca="1" si="3"/>
        <v>0</v>
      </c>
      <c r="D24" s="462">
        <f t="shared" si="4"/>
        <v>224.72915435233782</v>
      </c>
      <c r="E24" s="462">
        <f t="shared" si="5"/>
        <v>5.6438705720430749</v>
      </c>
      <c r="F24" s="462">
        <f t="shared" si="6"/>
        <v>2299.5449344048093</v>
      </c>
      <c r="G24" s="462">
        <f t="shared" si="7"/>
        <v>0</v>
      </c>
      <c r="H24" s="462">
        <f t="shared" si="8"/>
        <v>0</v>
      </c>
      <c r="I24" s="462">
        <f t="shared" si="9"/>
        <v>0</v>
      </c>
      <c r="J24" s="462">
        <f t="shared" si="10"/>
        <v>115.57381113790954</v>
      </c>
      <c r="K24" s="462">
        <f t="shared" si="11"/>
        <v>0</v>
      </c>
      <c r="L24" s="462">
        <f t="shared" si="12"/>
        <v>0</v>
      </c>
      <c r="M24" s="462">
        <f t="shared" si="13"/>
        <v>0</v>
      </c>
      <c r="N24" s="462">
        <f t="shared" si="14"/>
        <v>0</v>
      </c>
      <c r="O24" s="462">
        <f t="shared" si="15"/>
        <v>0</v>
      </c>
      <c r="P24" s="463">
        <f t="shared" si="16"/>
        <v>0</v>
      </c>
      <c r="Q24" s="461">
        <f t="shared" ca="1" si="17"/>
        <v>3207.4537471638196</v>
      </c>
    </row>
    <row r="25" spans="1:17">
      <c r="A25" s="461" t="s">
        <v>685</v>
      </c>
      <c r="B25" s="462">
        <f t="shared" ca="1" si="2"/>
        <v>28254.234489035061</v>
      </c>
      <c r="C25" s="462">
        <f t="shared" ca="1" si="3"/>
        <v>388.04369747899159</v>
      </c>
      <c r="D25" s="462">
        <f t="shared" si="4"/>
        <v>24256.623771944807</v>
      </c>
      <c r="E25" s="462">
        <f t="shared" si="5"/>
        <v>276.24386824304042</v>
      </c>
      <c r="F25" s="462">
        <f t="shared" si="6"/>
        <v>6803.6507037553492</v>
      </c>
      <c r="G25" s="462">
        <f t="shared" si="7"/>
        <v>0</v>
      </c>
      <c r="H25" s="462">
        <f t="shared" si="8"/>
        <v>0</v>
      </c>
      <c r="I25" s="462">
        <f t="shared" si="9"/>
        <v>0</v>
      </c>
      <c r="J25" s="462">
        <f t="shared" si="10"/>
        <v>213.03211073316211</v>
      </c>
      <c r="K25" s="462">
        <f t="shared" si="11"/>
        <v>0</v>
      </c>
      <c r="L25" s="462">
        <f t="shared" si="12"/>
        <v>0</v>
      </c>
      <c r="M25" s="462">
        <f t="shared" si="13"/>
        <v>0</v>
      </c>
      <c r="N25" s="462">
        <f t="shared" si="14"/>
        <v>0</v>
      </c>
      <c r="O25" s="462">
        <f t="shared" si="15"/>
        <v>0</v>
      </c>
      <c r="P25" s="463">
        <f t="shared" si="16"/>
        <v>0</v>
      </c>
      <c r="Q25" s="461">
        <f t="shared" ca="1" si="17"/>
        <v>60191.828641190419</v>
      </c>
    </row>
    <row r="26" spans="1:17" s="467" customFormat="1">
      <c r="A26" s="465" t="s">
        <v>579</v>
      </c>
      <c r="B26" s="823">
        <f t="shared" ca="1" si="2"/>
        <v>1.0370833456291124</v>
      </c>
      <c r="C26" s="466"/>
      <c r="D26" s="466">
        <f t="shared" si="4"/>
        <v>2.5836886934873498</v>
      </c>
      <c r="E26" s="466">
        <f t="shared" si="5"/>
        <v>199.70030930067279</v>
      </c>
      <c r="F26" s="466"/>
      <c r="G26" s="466">
        <f t="shared" si="7"/>
        <v>64531.041292054841</v>
      </c>
      <c r="H26" s="466">
        <f t="shared" si="8"/>
        <v>7404.4532347775994</v>
      </c>
      <c r="I26" s="466"/>
      <c r="J26" s="466"/>
      <c r="K26" s="466"/>
      <c r="L26" s="466"/>
      <c r="M26" s="466">
        <f t="shared" si="13"/>
        <v>0</v>
      </c>
      <c r="N26" s="466"/>
      <c r="O26" s="466"/>
      <c r="P26" s="477"/>
      <c r="Q26" s="465">
        <f t="shared" ca="1" si="17"/>
        <v>72138.815608172226</v>
      </c>
    </row>
    <row r="27" spans="1:17">
      <c r="A27" s="461" t="s">
        <v>569</v>
      </c>
      <c r="B27" s="462">
        <f t="shared" ca="1" si="2"/>
        <v>0</v>
      </c>
      <c r="C27" s="462"/>
      <c r="D27" s="466">
        <f t="shared" si="4"/>
        <v>0</v>
      </c>
      <c r="E27" s="462"/>
      <c r="F27" s="462"/>
      <c r="G27" s="462">
        <f t="shared" si="7"/>
        <v>131.89872684259606</v>
      </c>
      <c r="H27" s="462"/>
      <c r="I27" s="462"/>
      <c r="J27" s="462"/>
      <c r="K27" s="462"/>
      <c r="L27" s="462"/>
      <c r="M27" s="462">
        <f t="shared" si="13"/>
        <v>0</v>
      </c>
      <c r="N27" s="462"/>
      <c r="O27" s="462"/>
      <c r="P27" s="463"/>
      <c r="Q27" s="461">
        <f t="shared" ca="1" si="17"/>
        <v>131.89872684259606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34885.298678896324</v>
      </c>
      <c r="C31" s="472">
        <f t="shared" ca="1" si="18"/>
        <v>388.04369747899159</v>
      </c>
      <c r="D31" s="472">
        <f t="shared" ca="1" si="18"/>
        <v>31204.851468225443</v>
      </c>
      <c r="E31" s="472">
        <f t="shared" si="18"/>
        <v>1269.9534529548205</v>
      </c>
      <c r="F31" s="472">
        <f t="shared" ca="1" si="18"/>
        <v>17460.930879698793</v>
      </c>
      <c r="G31" s="472">
        <f t="shared" si="18"/>
        <v>64662.94001889744</v>
      </c>
      <c r="H31" s="472">
        <f t="shared" si="18"/>
        <v>7404.4532347775994</v>
      </c>
      <c r="I31" s="472">
        <f t="shared" si="18"/>
        <v>0</v>
      </c>
      <c r="J31" s="472">
        <f t="shared" si="18"/>
        <v>1243.5259457555851</v>
      </c>
      <c r="K31" s="472">
        <f t="shared" si="18"/>
        <v>0</v>
      </c>
      <c r="L31" s="472">
        <f t="shared" ca="1" si="18"/>
        <v>0</v>
      </c>
      <c r="M31" s="472">
        <f t="shared" si="18"/>
        <v>0</v>
      </c>
      <c r="N31" s="472">
        <f t="shared" ca="1" si="18"/>
        <v>0</v>
      </c>
      <c r="O31" s="472">
        <f t="shared" si="18"/>
        <v>0</v>
      </c>
      <c r="P31" s="473">
        <f t="shared" si="18"/>
        <v>0</v>
      </c>
      <c r="Q31" s="473">
        <f t="shared" ca="1" si="18"/>
        <v>158519.99737668497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0.21293033380377477</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0.21293033380377477</v>
      </c>
      <c r="C17" s="512">
        <f ca="1">'EF ele_warmte'!B22</f>
        <v>0.23764705882352941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0.21293033380377477</v>
      </c>
      <c r="C29" s="513">
        <f ca="1">'EF ele_warmte'!B22</f>
        <v>0.23764705882352941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45017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3192</v>
      </c>
      <c r="C9" s="338">
        <v>3294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3055</v>
      </c>
    </row>
    <row r="15" spans="1:6">
      <c r="A15" s="1260" t="s">
        <v>184</v>
      </c>
      <c r="B15" s="335">
        <v>30</v>
      </c>
    </row>
    <row r="16" spans="1:6">
      <c r="A16" s="1260" t="s">
        <v>6</v>
      </c>
      <c r="B16" s="335">
        <v>789</v>
      </c>
    </row>
    <row r="17" spans="1:6">
      <c r="A17" s="1260" t="s">
        <v>7</v>
      </c>
      <c r="B17" s="335">
        <v>1139</v>
      </c>
    </row>
    <row r="18" spans="1:6">
      <c r="A18" s="1260" t="s">
        <v>8</v>
      </c>
      <c r="B18" s="335">
        <v>1256</v>
      </c>
    </row>
    <row r="19" spans="1:6">
      <c r="A19" s="1260" t="s">
        <v>9</v>
      </c>
      <c r="B19" s="335">
        <v>1213</v>
      </c>
    </row>
    <row r="20" spans="1:6">
      <c r="A20" s="1260" t="s">
        <v>10</v>
      </c>
      <c r="B20" s="335">
        <v>917</v>
      </c>
    </row>
    <row r="21" spans="1:6">
      <c r="A21" s="1260" t="s">
        <v>11</v>
      </c>
      <c r="B21" s="335">
        <v>4224</v>
      </c>
    </row>
    <row r="22" spans="1:6">
      <c r="A22" s="1260" t="s">
        <v>12</v>
      </c>
      <c r="B22" s="335">
        <v>9464</v>
      </c>
    </row>
    <row r="23" spans="1:6">
      <c r="A23" s="1260" t="s">
        <v>13</v>
      </c>
      <c r="B23" s="335">
        <v>300</v>
      </c>
    </row>
    <row r="24" spans="1:6">
      <c r="A24" s="1260" t="s">
        <v>14</v>
      </c>
      <c r="B24" s="335">
        <v>15</v>
      </c>
    </row>
    <row r="25" spans="1:6">
      <c r="A25" s="1260" t="s">
        <v>15</v>
      </c>
      <c r="B25" s="335">
        <v>1992</v>
      </c>
    </row>
    <row r="26" spans="1:6">
      <c r="A26" s="1260" t="s">
        <v>16</v>
      </c>
      <c r="B26" s="335">
        <v>110</v>
      </c>
    </row>
    <row r="27" spans="1:6">
      <c r="A27" s="1260" t="s">
        <v>17</v>
      </c>
      <c r="B27" s="335">
        <v>11</v>
      </c>
    </row>
    <row r="28" spans="1:6" s="341" customFormat="1">
      <c r="A28" s="1261" t="s">
        <v>18</v>
      </c>
      <c r="B28" s="1261">
        <v>129699</v>
      </c>
    </row>
    <row r="29" spans="1:6">
      <c r="A29" s="1261" t="s">
        <v>910</v>
      </c>
      <c r="B29" s="1261">
        <v>137</v>
      </c>
      <c r="C29" s="341"/>
      <c r="D29" s="341"/>
      <c r="E29" s="341"/>
      <c r="F29" s="341"/>
    </row>
    <row r="30" spans="1:6">
      <c r="A30" s="1256" t="s">
        <v>911</v>
      </c>
      <c r="B30" s="1256">
        <v>34</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631.46894434520004</v>
      </c>
    </row>
    <row r="39" spans="1:6">
      <c r="A39" s="1260" t="s">
        <v>30</v>
      </c>
      <c r="B39" s="1260" t="s">
        <v>31</v>
      </c>
      <c r="C39" s="335">
        <v>770</v>
      </c>
      <c r="D39" s="335">
        <v>13488927.340035301</v>
      </c>
      <c r="E39" s="335">
        <v>2952</v>
      </c>
      <c r="F39" s="335">
        <v>16059293.6692634</v>
      </c>
    </row>
    <row r="40" spans="1:6">
      <c r="A40" s="1260" t="s">
        <v>30</v>
      </c>
      <c r="B40" s="1260" t="s">
        <v>29</v>
      </c>
      <c r="C40" s="335">
        <v>0</v>
      </c>
      <c r="D40" s="335">
        <v>0</v>
      </c>
      <c r="E40" s="335">
        <v>0</v>
      </c>
      <c r="F40" s="335">
        <v>0</v>
      </c>
    </row>
    <row r="41" spans="1:6">
      <c r="A41" s="1260" t="s">
        <v>32</v>
      </c>
      <c r="B41" s="1260" t="s">
        <v>33</v>
      </c>
      <c r="C41" s="335">
        <v>8</v>
      </c>
      <c r="D41" s="335">
        <v>146967.04719226301</v>
      </c>
      <c r="E41" s="335">
        <v>87</v>
      </c>
      <c r="F41" s="335">
        <v>1054485.07303387</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19</v>
      </c>
      <c r="F44" s="335">
        <v>709474.82591739704</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3</v>
      </c>
      <c r="F47" s="335">
        <v>1139695.1100246899</v>
      </c>
    </row>
    <row r="48" spans="1:6">
      <c r="A48" s="1260" t="s">
        <v>32</v>
      </c>
      <c r="B48" s="1260" t="s">
        <v>29</v>
      </c>
      <c r="C48" s="335">
        <v>32</v>
      </c>
      <c r="D48" s="335">
        <v>136565612.20906401</v>
      </c>
      <c r="E48" s="335">
        <v>43</v>
      </c>
      <c r="F48" s="335">
        <v>117326276.908628</v>
      </c>
    </row>
    <row r="49" spans="1:6">
      <c r="A49" s="1260" t="s">
        <v>32</v>
      </c>
      <c r="B49" s="1260" t="s">
        <v>40</v>
      </c>
      <c r="C49" s="335">
        <v>0</v>
      </c>
      <c r="D49" s="335">
        <v>0</v>
      </c>
      <c r="E49" s="335">
        <v>0</v>
      </c>
      <c r="F49" s="335">
        <v>0</v>
      </c>
    </row>
    <row r="50" spans="1:6">
      <c r="A50" s="1260" t="s">
        <v>32</v>
      </c>
      <c r="B50" s="1260" t="s">
        <v>41</v>
      </c>
      <c r="C50" s="335">
        <v>3</v>
      </c>
      <c r="D50" s="335">
        <v>36877.713179574399</v>
      </c>
      <c r="E50" s="335">
        <v>13</v>
      </c>
      <c r="F50" s="335">
        <v>11319456.17151</v>
      </c>
    </row>
    <row r="51" spans="1:6">
      <c r="A51" s="1260" t="s">
        <v>42</v>
      </c>
      <c r="B51" s="1260" t="s">
        <v>43</v>
      </c>
      <c r="C51" s="335">
        <v>0</v>
      </c>
      <c r="D51" s="335">
        <v>0</v>
      </c>
      <c r="E51" s="335">
        <v>126</v>
      </c>
      <c r="F51" s="335">
        <v>2436404.4420883702</v>
      </c>
    </row>
    <row r="52" spans="1:6">
      <c r="A52" s="1260" t="s">
        <v>42</v>
      </c>
      <c r="B52" s="1260" t="s">
        <v>29</v>
      </c>
      <c r="C52" s="335">
        <v>7</v>
      </c>
      <c r="D52" s="335">
        <v>862458.17451957997</v>
      </c>
      <c r="E52" s="335">
        <v>7</v>
      </c>
      <c r="F52" s="335">
        <v>202777.89824738601</v>
      </c>
    </row>
    <row r="53" spans="1:6">
      <c r="A53" s="1260" t="s">
        <v>44</v>
      </c>
      <c r="B53" s="1260" t="s">
        <v>45</v>
      </c>
      <c r="C53" s="335">
        <v>14</v>
      </c>
      <c r="D53" s="335">
        <v>370934.91428383702</v>
      </c>
      <c r="E53" s="335">
        <v>77</v>
      </c>
      <c r="F53" s="335">
        <v>651243.48391732504</v>
      </c>
    </row>
    <row r="54" spans="1:6">
      <c r="A54" s="1260" t="s">
        <v>46</v>
      </c>
      <c r="B54" s="1260" t="s">
        <v>47</v>
      </c>
      <c r="C54" s="335">
        <v>0</v>
      </c>
      <c r="D54" s="335">
        <v>0</v>
      </c>
      <c r="E54" s="335">
        <v>2</v>
      </c>
      <c r="F54" s="335">
        <v>777956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4</v>
      </c>
      <c r="D57" s="335">
        <v>475410.30962347199</v>
      </c>
      <c r="E57" s="335">
        <v>20</v>
      </c>
      <c r="F57" s="335">
        <v>229042.482892906</v>
      </c>
    </row>
    <row r="58" spans="1:6">
      <c r="A58" s="1260" t="s">
        <v>49</v>
      </c>
      <c r="B58" s="1260" t="s">
        <v>51</v>
      </c>
      <c r="C58" s="335">
        <v>0</v>
      </c>
      <c r="D58" s="335">
        <v>0</v>
      </c>
      <c r="E58" s="335">
        <v>16</v>
      </c>
      <c r="F58" s="335">
        <v>120682.72517161501</v>
      </c>
    </row>
    <row r="59" spans="1:6">
      <c r="A59" s="1260" t="s">
        <v>49</v>
      </c>
      <c r="B59" s="1260" t="s">
        <v>52</v>
      </c>
      <c r="C59" s="335">
        <v>10</v>
      </c>
      <c r="D59" s="335">
        <v>668078.26358699903</v>
      </c>
      <c r="E59" s="335">
        <v>108</v>
      </c>
      <c r="F59" s="335">
        <v>3559206.7660099398</v>
      </c>
    </row>
    <row r="60" spans="1:6">
      <c r="A60" s="1260" t="s">
        <v>49</v>
      </c>
      <c r="B60" s="1260" t="s">
        <v>53</v>
      </c>
      <c r="C60" s="335">
        <v>14</v>
      </c>
      <c r="D60" s="335">
        <v>373210.50338717899</v>
      </c>
      <c r="E60" s="335">
        <v>35</v>
      </c>
      <c r="F60" s="335">
        <v>1118620.77282729</v>
      </c>
    </row>
    <row r="61" spans="1:6">
      <c r="A61" s="1260" t="s">
        <v>49</v>
      </c>
      <c r="B61" s="1260" t="s">
        <v>54</v>
      </c>
      <c r="C61" s="335">
        <v>27</v>
      </c>
      <c r="D61" s="335">
        <v>1838485.25179787</v>
      </c>
      <c r="E61" s="335">
        <v>123</v>
      </c>
      <c r="F61" s="335">
        <v>1581295.7835826101</v>
      </c>
    </row>
    <row r="62" spans="1:6">
      <c r="A62" s="1260" t="s">
        <v>49</v>
      </c>
      <c r="B62" s="1260" t="s">
        <v>55</v>
      </c>
      <c r="C62" s="335">
        <v>0</v>
      </c>
      <c r="D62" s="335">
        <v>0</v>
      </c>
      <c r="E62" s="335">
        <v>0</v>
      </c>
      <c r="F62" s="335">
        <v>0</v>
      </c>
    </row>
    <row r="63" spans="1:6">
      <c r="A63" s="1260" t="s">
        <v>49</v>
      </c>
      <c r="B63" s="1260" t="s">
        <v>29</v>
      </c>
      <c r="C63" s="335">
        <v>72</v>
      </c>
      <c r="D63" s="335">
        <v>20042646.323900901</v>
      </c>
      <c r="E63" s="335">
        <v>159</v>
      </c>
      <c r="F63" s="335">
        <v>3665318.3915307401</v>
      </c>
    </row>
    <row r="64" spans="1:6">
      <c r="A64" s="1260" t="s">
        <v>56</v>
      </c>
      <c r="B64" s="1260" t="s">
        <v>57</v>
      </c>
      <c r="C64" s="335">
        <v>0</v>
      </c>
      <c r="D64" s="335">
        <v>0</v>
      </c>
      <c r="E64" s="335">
        <v>0</v>
      </c>
      <c r="F64" s="335">
        <v>0</v>
      </c>
    </row>
    <row r="65" spans="1:6">
      <c r="A65" s="1260" t="s">
        <v>56</v>
      </c>
      <c r="B65" s="1260" t="s">
        <v>29</v>
      </c>
      <c r="C65" s="335">
        <v>1</v>
      </c>
      <c r="D65" s="335">
        <v>36665.294300197798</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8</v>
      </c>
      <c r="F68" s="335">
        <v>192754.02938795599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54660408</v>
      </c>
      <c r="E73" s="335">
        <v>56416929.66860047</v>
      </c>
    </row>
    <row r="74" spans="1:6">
      <c r="A74" s="1260" t="s">
        <v>64</v>
      </c>
      <c r="B74" s="1260" t="s">
        <v>772</v>
      </c>
      <c r="C74" s="1271" t="s">
        <v>766</v>
      </c>
      <c r="D74" s="335">
        <v>4551038.4039601041</v>
      </c>
      <c r="E74" s="335">
        <v>4777203.3249509363</v>
      </c>
    </row>
    <row r="75" spans="1:6">
      <c r="A75" s="1260" t="s">
        <v>65</v>
      </c>
      <c r="B75" s="1260" t="s">
        <v>771</v>
      </c>
      <c r="C75" s="1271" t="s">
        <v>767</v>
      </c>
      <c r="D75" s="335">
        <v>14848792</v>
      </c>
      <c r="E75" s="335">
        <v>15161370.140460284</v>
      </c>
    </row>
    <row r="76" spans="1:6">
      <c r="A76" s="1260" t="s">
        <v>65</v>
      </c>
      <c r="B76" s="1260" t="s">
        <v>772</v>
      </c>
      <c r="C76" s="1271" t="s">
        <v>768</v>
      </c>
      <c r="D76" s="335">
        <v>362731.40396010439</v>
      </c>
      <c r="E76" s="335">
        <v>396906.1486433809</v>
      </c>
    </row>
    <row r="77" spans="1:6">
      <c r="A77" s="1260" t="s">
        <v>66</v>
      </c>
      <c r="B77" s="1260" t="s">
        <v>771</v>
      </c>
      <c r="C77" s="1271" t="s">
        <v>769</v>
      </c>
      <c r="D77" s="335">
        <v>161979501</v>
      </c>
      <c r="E77" s="335">
        <v>191598760.52753362</v>
      </c>
    </row>
    <row r="78" spans="1:6">
      <c r="A78" s="1256" t="s">
        <v>66</v>
      </c>
      <c r="B78" s="1256" t="s">
        <v>772</v>
      </c>
      <c r="C78" s="1256" t="s">
        <v>770</v>
      </c>
      <c r="D78" s="1256">
        <v>44003860</v>
      </c>
      <c r="E78" s="1256">
        <v>49495521.567216411</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135681.19207979125</v>
      </c>
      <c r="C83" s="335">
        <v>130318.28555070395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1386.4729363400154</v>
      </c>
    </row>
    <row r="92" spans="1:6">
      <c r="A92" s="1256" t="s">
        <v>69</v>
      </c>
      <c r="B92" s="338">
        <v>4681.9250127059149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259</v>
      </c>
    </row>
    <row r="98" spans="1:6">
      <c r="A98" s="1260" t="s">
        <v>72</v>
      </c>
      <c r="B98" s="335">
        <v>0</v>
      </c>
    </row>
    <row r="99" spans="1:6">
      <c r="A99" s="1260" t="s">
        <v>73</v>
      </c>
      <c r="B99" s="335">
        <v>91</v>
      </c>
    </row>
    <row r="100" spans="1:6">
      <c r="A100" s="1260" t="s">
        <v>74</v>
      </c>
      <c r="B100" s="335">
        <v>319</v>
      </c>
    </row>
    <row r="101" spans="1:6">
      <c r="A101" s="1260" t="s">
        <v>75</v>
      </c>
      <c r="B101" s="335">
        <v>92</v>
      </c>
    </row>
    <row r="102" spans="1:6">
      <c r="A102" s="1260" t="s">
        <v>76</v>
      </c>
      <c r="B102" s="335">
        <v>51</v>
      </c>
    </row>
    <row r="103" spans="1:6">
      <c r="A103" s="1260" t="s">
        <v>77</v>
      </c>
      <c r="B103" s="335">
        <v>133</v>
      </c>
    </row>
    <row r="104" spans="1:6">
      <c r="A104" s="1260" t="s">
        <v>78</v>
      </c>
      <c r="B104" s="335">
        <v>1944</v>
      </c>
    </row>
    <row r="105" spans="1:6">
      <c r="A105" s="1256" t="s">
        <v>79</v>
      </c>
      <c r="B105" s="1256">
        <v>7</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6</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30</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163834.33048597365</v>
      </c>
      <c r="C3" s="44" t="s">
        <v>170</v>
      </c>
      <c r="D3" s="44"/>
      <c r="E3" s="157"/>
      <c r="F3" s="44"/>
      <c r="G3" s="44"/>
      <c r="H3" s="44"/>
      <c r="I3" s="44"/>
      <c r="J3" s="44"/>
      <c r="K3" s="97"/>
    </row>
    <row r="4" spans="1:11">
      <c r="A4" s="365" t="s">
        <v>171</v>
      </c>
      <c r="B4" s="50">
        <f>IF(ISERROR('SEAP template'!B69),0,'SEAP template'!B69)</f>
        <v>7211.3979490459305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271.63058823529417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0.21293033380377477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388.04369747899159</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1632.8571428571429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777.95600000000002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777.95600000000002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0.21293033380377477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165.6504307646494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16059.293669263399</v>
      </c>
      <c r="C5" s="18">
        <f>IF(ISERROR('Eigen informatie GS &amp; warmtenet'!B57),0,'Eigen informatie GS &amp; warmtenet'!B57)</f>
        <v>0</v>
      </c>
      <c r="D5" s="31">
        <f>(SUM(HH_hh_gas_kWh,HH_rest_gas_kWh)/1000)*0.902</f>
        <v>12167.012460711841</v>
      </c>
      <c r="E5" s="18">
        <f>B46*B57</f>
        <v>3359.5020414215869</v>
      </c>
      <c r="F5" s="18">
        <f>B51*B62</f>
        <v>29295.962274250393</v>
      </c>
      <c r="G5" s="19"/>
      <c r="H5" s="18"/>
      <c r="I5" s="18"/>
      <c r="J5" s="18">
        <f>B50*B61+C50*C61</f>
        <v>2584.5198414816759</v>
      </c>
      <c r="K5" s="18"/>
      <c r="L5" s="18"/>
      <c r="M5" s="18"/>
      <c r="N5" s="18">
        <f>B48*B59+C48*C59</f>
        <v>11030.016925289743</v>
      </c>
      <c r="O5" s="18">
        <f>B69*B70*B71</f>
        <v>56.280000000000008</v>
      </c>
      <c r="P5" s="18">
        <f>B77*B78*B79/1000-B77*B78*B79/1000/B80</f>
        <v>286</v>
      </c>
    </row>
    <row r="6" spans="1:16">
      <c r="A6" s="17" t="s">
        <v>639</v>
      </c>
      <c r="B6" s="831">
        <f>kWh_PV_kleiner_dan_10kW</f>
        <v>1386.4729363400154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17445.766605603414</v>
      </c>
      <c r="C8" s="22">
        <f>C5</f>
        <v>0</v>
      </c>
      <c r="D8" s="22">
        <f>D5</f>
        <v>12167.012460711841</v>
      </c>
      <c r="E8" s="22">
        <f>E5</f>
        <v>3359.5020414215869</v>
      </c>
      <c r="F8" s="22">
        <f>F5</f>
        <v>29295.962274250393</v>
      </c>
      <c r="G8" s="22"/>
      <c r="H8" s="22"/>
      <c r="I8" s="22"/>
      <c r="J8" s="22">
        <f>J5</f>
        <v>2584.5198414816759</v>
      </c>
      <c r="K8" s="22"/>
      <c r="L8" s="22">
        <f>L5</f>
        <v>0</v>
      </c>
      <c r="M8" s="22">
        <f>M5</f>
        <v>0</v>
      </c>
      <c r="N8" s="22">
        <f>N5</f>
        <v>11030.016925289743</v>
      </c>
      <c r="O8" s="22">
        <f>O5</f>
        <v>56.280000000000008</v>
      </c>
      <c r="P8" s="22">
        <f>P5</f>
        <v>286</v>
      </c>
    </row>
    <row r="9" spans="1:16">
      <c r="B9" s="20"/>
      <c r="C9" s="20"/>
      <c r="D9" s="262"/>
      <c r="E9" s="20"/>
      <c r="F9" s="20"/>
      <c r="G9" s="20"/>
      <c r="H9" s="20"/>
      <c r="I9" s="20"/>
      <c r="J9" s="20"/>
      <c r="K9" s="20"/>
      <c r="L9" s="20"/>
      <c r="M9" s="20"/>
      <c r="N9" s="20"/>
      <c r="O9" s="20"/>
      <c r="P9" s="20"/>
    </row>
    <row r="10" spans="1:16">
      <c r="A10" s="25" t="s">
        <v>214</v>
      </c>
      <c r="B10" s="26">
        <f ca="1">'EF ele_warmte'!B12</f>
        <v>0.21293033380377477</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3714.7329067938817</v>
      </c>
      <c r="C12" s="24">
        <f ca="1">C10*C8</f>
        <v>0</v>
      </c>
      <c r="D12" s="24">
        <f>D8*D10</f>
        <v>2457.7365170637922</v>
      </c>
      <c r="E12" s="24">
        <f>E10*E8</f>
        <v>762.60696340270022</v>
      </c>
      <c r="F12" s="24">
        <f>F10*F8</f>
        <v>7822.0219272248551</v>
      </c>
      <c r="G12" s="24"/>
      <c r="H12" s="24"/>
      <c r="I12" s="24"/>
      <c r="J12" s="24">
        <f>J10*J8</f>
        <v>914.92002388451328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259</v>
      </c>
      <c r="C18" s="169" t="s">
        <v>111</v>
      </c>
      <c r="D18" s="231"/>
      <c r="E18" s="16"/>
    </row>
    <row r="19" spans="1:7">
      <c r="A19" s="174" t="s">
        <v>72</v>
      </c>
      <c r="B19" s="38">
        <f>aantalw2001_ander</f>
        <v>0</v>
      </c>
      <c r="C19" s="169" t="s">
        <v>111</v>
      </c>
      <c r="D19" s="232"/>
      <c r="E19" s="16"/>
    </row>
    <row r="20" spans="1:7">
      <c r="A20" s="174" t="s">
        <v>73</v>
      </c>
      <c r="B20" s="38">
        <f>aantalw2001_propaan</f>
        <v>91</v>
      </c>
      <c r="C20" s="170">
        <f>IF(ISERROR(B20/SUM($B$20,$B$21,$B$22)*100),0,B20/SUM($B$20,$B$21,$B$22)*100)</f>
        <v>18.127490039840637</v>
      </c>
      <c r="D20" s="232"/>
      <c r="E20" s="16"/>
    </row>
    <row r="21" spans="1:7">
      <c r="A21" s="174" t="s">
        <v>74</v>
      </c>
      <c r="B21" s="38">
        <f>aantalw2001_elektriciteit</f>
        <v>319</v>
      </c>
      <c r="C21" s="170">
        <f>IF(ISERROR(B21/SUM($B$20,$B$21,$B$22)*100),0,B21/SUM($B$20,$B$21,$B$22)*100)</f>
        <v>63.545816733067731</v>
      </c>
      <c r="D21" s="232"/>
      <c r="E21" s="16"/>
    </row>
    <row r="22" spans="1:7">
      <c r="A22" s="174" t="s">
        <v>75</v>
      </c>
      <c r="B22" s="38">
        <f>aantalw2001_hout</f>
        <v>92</v>
      </c>
      <c r="C22" s="170">
        <f>IF(ISERROR(B22/SUM($B$20,$B$21,$B$22)*100),0,B22/SUM($B$20,$B$21,$B$22)*100)</f>
        <v>18.326693227091635</v>
      </c>
      <c r="D22" s="232"/>
      <c r="E22" s="16"/>
    </row>
    <row r="23" spans="1:7">
      <c r="A23" s="174" t="s">
        <v>76</v>
      </c>
      <c r="B23" s="38">
        <f>aantalw2001_niet_gespec</f>
        <v>51</v>
      </c>
      <c r="C23" s="169" t="s">
        <v>111</v>
      </c>
      <c r="D23" s="231"/>
      <c r="E23" s="16"/>
    </row>
    <row r="24" spans="1:7">
      <c r="A24" s="174" t="s">
        <v>77</v>
      </c>
      <c r="B24" s="38">
        <f>aantalw2001_steenkool</f>
        <v>133</v>
      </c>
      <c r="C24" s="169" t="s">
        <v>111</v>
      </c>
      <c r="D24" s="232"/>
      <c r="E24" s="16"/>
    </row>
    <row r="25" spans="1:7">
      <c r="A25" s="174" t="s">
        <v>78</v>
      </c>
      <c r="B25" s="38">
        <f>aantalw2001_stookolie</f>
        <v>1944</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3192</v>
      </c>
      <c r="C28" s="37"/>
      <c r="D28" s="231"/>
    </row>
    <row r="29" spans="1:7" s="16" customFormat="1">
      <c r="A29" s="233" t="s">
        <v>666</v>
      </c>
      <c r="B29" s="38">
        <f>SUM(HH_hh_gas_aantal,HH_rest_gas_aantal)</f>
        <v>770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770</v>
      </c>
      <c r="C32" s="170">
        <f>IF(ISERROR(B32/SUM($B$32,$B$34,$B$35,$B$36,$B$38,$B$39)*100),0,B32/SUM($B$32,$B$34,$B$35,$B$36,$B$38,$B$39)*100)</f>
        <v>24.236701290525652</v>
      </c>
      <c r="D32" s="236"/>
      <c r="G32" s="16"/>
    </row>
    <row r="33" spans="1:7">
      <c r="A33" s="174" t="s">
        <v>72</v>
      </c>
      <c r="B33" s="35" t="s">
        <v>111</v>
      </c>
      <c r="C33" s="170"/>
      <c r="D33" s="236"/>
      <c r="G33" s="16"/>
    </row>
    <row r="34" spans="1:7">
      <c r="A34" s="174" t="s">
        <v>73</v>
      </c>
      <c r="B34" s="34">
        <f>IF((($B$28-$B$32-$B$39-$B$77-$B$38)*C20/100)&lt;0,0,($B$28-$B$32-$B$39-$B$77-$B$38)*C20/100)</f>
        <v>152.45219123505979</v>
      </c>
      <c r="C34" s="170">
        <f>IF(ISERROR(B34/SUM($B$32,$B$34,$B$35,$B$36,$B$38,$B$39)*100),0,B34/SUM($B$32,$B$34,$B$35,$B$36,$B$38,$B$39)*100)</f>
        <v>4.7986210650003081</v>
      </c>
      <c r="D34" s="236"/>
      <c r="G34" s="16"/>
    </row>
    <row r="35" spans="1:7">
      <c r="A35" s="174" t="s">
        <v>74</v>
      </c>
      <c r="B35" s="34">
        <f>IF((($B$28-$B$32-$B$39-$B$77-$B$38)*C21/100)&lt;0,0,($B$28-$B$32-$B$39-$B$77-$B$38)*C21/100)</f>
        <v>534.42031872509972</v>
      </c>
      <c r="C35" s="170">
        <f>IF(ISERROR(B35/SUM($B$32,$B$34,$B$35,$B$36,$B$38,$B$39)*100),0,B35/SUM($B$32,$B$34,$B$35,$B$36,$B$38,$B$39)*100)</f>
        <v>16.821539777308772</v>
      </c>
      <c r="D35" s="236"/>
      <c r="G35" s="16"/>
    </row>
    <row r="36" spans="1:7">
      <c r="A36" s="174" t="s">
        <v>75</v>
      </c>
      <c r="B36" s="34">
        <f>IF((($B$28-$B$32-$B$39-$B$77-$B$38)*C22/100)&lt;0,0,($B$28-$B$32-$B$39-$B$77-$B$38)*C22/100)</f>
        <v>154.12749003984067</v>
      </c>
      <c r="C36" s="170">
        <f>IF(ISERROR(B36/SUM($B$32,$B$34,$B$35,$B$36,$B$38,$B$39)*100),0,B36/SUM($B$32,$B$34,$B$35,$B$36,$B$38,$B$39)*100)</f>
        <v>4.8513531646156958</v>
      </c>
      <c r="D36" s="236"/>
      <c r="G36" s="16"/>
    </row>
    <row r="37" spans="1:7">
      <c r="A37" s="174" t="s">
        <v>76</v>
      </c>
      <c r="B37" s="35" t="s">
        <v>111</v>
      </c>
      <c r="C37" s="170"/>
      <c r="D37" s="176"/>
      <c r="G37" s="16"/>
    </row>
    <row r="38" spans="1:7">
      <c r="A38" s="174" t="s">
        <v>77</v>
      </c>
      <c r="B38" s="34">
        <f>IF((B24-(B29-B18)*0.1)&lt;0,0,B24-(B29-B18)*0.1)</f>
        <v>81.900000000000006</v>
      </c>
      <c r="C38" s="170">
        <f>IF(ISERROR(B38/SUM($B$32,$B$34,$B$35,$B$36,$B$38,$B$39)*100),0,B38/SUM($B$32,$B$34,$B$35,$B$36,$B$38,$B$39)*100)</f>
        <v>2.5779036827195472</v>
      </c>
      <c r="D38" s="237"/>
      <c r="G38" s="16"/>
    </row>
    <row r="39" spans="1:7">
      <c r="A39" s="174" t="s">
        <v>78</v>
      </c>
      <c r="B39" s="34">
        <f>IF((B25-(B29-B18))&lt;0,0,B25-(B29-B18)*0.9)</f>
        <v>1484.1</v>
      </c>
      <c r="C39" s="170">
        <f>IF(ISERROR(B39/SUM($B$32,$B$34,$B$35,$B$36,$B$38,$B$39)*100),0,B39/SUM($B$32,$B$34,$B$35,$B$36,$B$38,$B$39)*100)</f>
        <v>46.713881019830026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770</v>
      </c>
      <c r="C44" s="35" t="s">
        <v>111</v>
      </c>
      <c r="D44" s="177"/>
    </row>
    <row r="45" spans="1:7">
      <c r="A45" s="174" t="s">
        <v>72</v>
      </c>
      <c r="B45" s="34" t="str">
        <f t="shared" si="0"/>
        <v>-</v>
      </c>
      <c r="C45" s="35" t="s">
        <v>111</v>
      </c>
      <c r="D45" s="177"/>
    </row>
    <row r="46" spans="1:7">
      <c r="A46" s="174" t="s">
        <v>73</v>
      </c>
      <c r="B46" s="34">
        <f t="shared" si="0"/>
        <v>152.45219123505979</v>
      </c>
      <c r="C46" s="35" t="s">
        <v>111</v>
      </c>
      <c r="D46" s="177"/>
    </row>
    <row r="47" spans="1:7">
      <c r="A47" s="174" t="s">
        <v>74</v>
      </c>
      <c r="B47" s="34">
        <f t="shared" si="0"/>
        <v>534.42031872509972</v>
      </c>
      <c r="C47" s="35" t="s">
        <v>111</v>
      </c>
      <c r="D47" s="177"/>
    </row>
    <row r="48" spans="1:7">
      <c r="A48" s="174" t="s">
        <v>75</v>
      </c>
      <c r="B48" s="34">
        <f t="shared" si="0"/>
        <v>154.12749003984067</v>
      </c>
      <c r="C48" s="34">
        <f>B48*10</f>
        <v>1541.2749003984068</v>
      </c>
      <c r="D48" s="237"/>
    </row>
    <row r="49" spans="1:6">
      <c r="A49" s="174" t="s">
        <v>76</v>
      </c>
      <c r="B49" s="34" t="str">
        <f t="shared" si="0"/>
        <v>-</v>
      </c>
      <c r="C49" s="35" t="s">
        <v>111</v>
      </c>
      <c r="D49" s="237"/>
    </row>
    <row r="50" spans="1:6">
      <c r="A50" s="174" t="s">
        <v>77</v>
      </c>
      <c r="B50" s="34">
        <f t="shared" si="0"/>
        <v>81.900000000000006</v>
      </c>
      <c r="C50" s="34">
        <f>B50*2</f>
        <v>163.80000000000001</v>
      </c>
      <c r="D50" s="237"/>
    </row>
    <row r="51" spans="1:6">
      <c r="A51" s="174" t="s">
        <v>78</v>
      </c>
      <c r="B51" s="34">
        <f t="shared" si="0"/>
        <v>1484.1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10274.166922015102</v>
      </c>
      <c r="C5" s="18">
        <f>IF(ISERROR('Eigen informatie GS &amp; warmtenet'!B58),0,'Eigen informatie GS &amp; warmtenet'!B58)</f>
        <v>0</v>
      </c>
      <c r="D5" s="31">
        <f>SUM(D6:D12)</f>
        <v>21104.84324837137</v>
      </c>
      <c r="E5" s="18">
        <f>SUM(E6:E12)</f>
        <v>113.47331029235231</v>
      </c>
      <c r="F5" s="18">
        <f>SUM(F6:F12)</f>
        <v>2006.4169075422485</v>
      </c>
      <c r="G5" s="19"/>
      <c r="H5" s="18"/>
      <c r="I5" s="18"/>
      <c r="J5" s="18">
        <f>SUM(J6:J12)</f>
        <v>0</v>
      </c>
      <c r="K5" s="18"/>
      <c r="L5" s="18"/>
      <c r="M5" s="18"/>
      <c r="N5" s="18">
        <f>SUM(N6:N12)</f>
        <v>392.38165205135874</v>
      </c>
      <c r="O5" s="18">
        <f>B38*B39*B40</f>
        <v>0</v>
      </c>
      <c r="P5" s="18">
        <f>B46*B47*B48/1000-B46*B47*B48/1000/B49</f>
        <v>0</v>
      </c>
      <c r="R5" s="33"/>
    </row>
    <row r="6" spans="1:18">
      <c r="A6" s="33" t="s">
        <v>54</v>
      </c>
      <c r="B6" s="38">
        <f>B26</f>
        <v>1581.2957835826101</v>
      </c>
      <c r="C6" s="34"/>
      <c r="D6" s="38">
        <f>IF(ISERROR(TER_kantoor_gas_kWh/1000),0,TER_kantoor_gas_kWh/1000)*0.902</f>
        <v>1658.3136971216788</v>
      </c>
      <c r="E6" s="34">
        <f>$C$26*'E Balans VL '!I12/100/3.6*1000000</f>
        <v>2.5952268713244884</v>
      </c>
      <c r="F6" s="34">
        <f>$C$26*('E Balans VL '!L12+'E Balans VL '!N12)/100/3.6*1000000</f>
        <v>186.39756701504982</v>
      </c>
      <c r="G6" s="35"/>
      <c r="H6" s="34"/>
      <c r="I6" s="34"/>
      <c r="J6" s="34">
        <f>$C$26*('E Balans VL '!D12+'E Balans VL '!E12)/100/3.6*1000000</f>
        <v>0</v>
      </c>
      <c r="K6" s="34"/>
      <c r="L6" s="34"/>
      <c r="M6" s="34"/>
      <c r="N6" s="34">
        <f>$C$26*'E Balans VL '!Y12/100/3.6*1000000</f>
        <v>0.31949332502430405</v>
      </c>
      <c r="O6" s="34"/>
      <c r="P6" s="34"/>
      <c r="R6" s="33"/>
    </row>
    <row r="7" spans="1:18">
      <c r="A7" s="33" t="s">
        <v>53</v>
      </c>
      <c r="B7" s="38">
        <f t="shared" ref="B7:B12" si="0">B27</f>
        <v>1118.62077282729</v>
      </c>
      <c r="C7" s="34"/>
      <c r="D7" s="38">
        <f>IF(ISERROR(TER_horeca_gas_kWh/1000),0,TER_horeca_gas_kWh/1000)*0.902</f>
        <v>336.63587405523549</v>
      </c>
      <c r="E7" s="34">
        <f>$C$27*'E Balans VL '!I9/100/3.6*1000000</f>
        <v>58.04832359660805</v>
      </c>
      <c r="F7" s="34">
        <f>$C$27*('E Balans VL '!L9+'E Balans VL '!N9)/100/3.6*1000000</f>
        <v>255.27007203444319</v>
      </c>
      <c r="G7" s="35"/>
      <c r="H7" s="34"/>
      <c r="I7" s="34"/>
      <c r="J7" s="34">
        <f>$C$27*('E Balans VL '!D9+'E Balans VL '!E9)/100/3.6*1000000</f>
        <v>0</v>
      </c>
      <c r="K7" s="34"/>
      <c r="L7" s="34"/>
      <c r="M7" s="34"/>
      <c r="N7" s="34">
        <f>$C$27*'E Balans VL '!Y9/100/3.6*1000000</f>
        <v>0.11812584098022796</v>
      </c>
      <c r="O7" s="34"/>
      <c r="P7" s="34"/>
      <c r="R7" s="33"/>
    </row>
    <row r="8" spans="1:18">
      <c r="A8" s="6" t="s">
        <v>52</v>
      </c>
      <c r="B8" s="38">
        <f t="shared" si="0"/>
        <v>3559.2067660099397</v>
      </c>
      <c r="C8" s="34"/>
      <c r="D8" s="38">
        <f>IF(ISERROR(TER_handel_gas_kWh/1000),0,TER_handel_gas_kWh/1000)*0.902</f>
        <v>602.60659375547311</v>
      </c>
      <c r="E8" s="34">
        <f>$C$28*'E Balans VL '!I13/100/3.6*1000000</f>
        <v>19.166765803344113</v>
      </c>
      <c r="F8" s="34">
        <f>$C$28*('E Balans VL '!L13+'E Balans VL '!N13)/100/3.6*1000000</f>
        <v>725.82802968814235</v>
      </c>
      <c r="G8" s="35"/>
      <c r="H8" s="34"/>
      <c r="I8" s="34"/>
      <c r="J8" s="34">
        <f>$C$28*('E Balans VL '!D13+'E Balans VL '!E13)/100/3.6*1000000</f>
        <v>0</v>
      </c>
      <c r="K8" s="34"/>
      <c r="L8" s="34"/>
      <c r="M8" s="34"/>
      <c r="N8" s="34">
        <f>$C$28*'E Balans VL '!Y13/100/3.6*1000000</f>
        <v>17.698055684124885</v>
      </c>
      <c r="O8" s="34"/>
      <c r="P8" s="34"/>
      <c r="R8" s="33"/>
    </row>
    <row r="9" spans="1:18">
      <c r="A9" s="33" t="s">
        <v>51</v>
      </c>
      <c r="B9" s="38">
        <f t="shared" si="0"/>
        <v>120.682725171615</v>
      </c>
      <c r="C9" s="34"/>
      <c r="D9" s="38">
        <f>IF(ISERROR(TER_gezond_gas_kWh/1000),0,TER_gezond_gas_kWh/1000)*0.902</f>
        <v>0</v>
      </c>
      <c r="E9" s="34">
        <f>$C$29*'E Balans VL '!I10/100/3.6*1000000</f>
        <v>0.1195979530433413</v>
      </c>
      <c r="F9" s="34">
        <f>$C$29*('E Balans VL '!L10+'E Balans VL '!N10)/100/3.6*1000000</f>
        <v>41.87342708844951</v>
      </c>
      <c r="G9" s="35"/>
      <c r="H9" s="34"/>
      <c r="I9" s="34"/>
      <c r="J9" s="34">
        <f>$C$29*('E Balans VL '!D10+'E Balans VL '!E10)/100/3.6*1000000</f>
        <v>0</v>
      </c>
      <c r="K9" s="34"/>
      <c r="L9" s="34"/>
      <c r="M9" s="34"/>
      <c r="N9" s="34">
        <f>$C$29*'E Balans VL '!Y10/100/3.6*1000000</f>
        <v>1.0399125881094478</v>
      </c>
      <c r="O9" s="34"/>
      <c r="P9" s="34"/>
      <c r="R9" s="33"/>
    </row>
    <row r="10" spans="1:18">
      <c r="A10" s="33" t="s">
        <v>50</v>
      </c>
      <c r="B10" s="38">
        <f t="shared" si="0"/>
        <v>229.04248289290601</v>
      </c>
      <c r="C10" s="34"/>
      <c r="D10" s="38">
        <f>IF(ISERROR(TER_ander_gas_kWh/1000),0,TER_ander_gas_kWh/1000)*0.902</f>
        <v>428.82009928037172</v>
      </c>
      <c r="E10" s="34">
        <f>$C$30*'E Balans VL '!I14/100/3.6*1000000</f>
        <v>1.8737964217230287</v>
      </c>
      <c r="F10" s="34">
        <f>$C$30*('E Balans VL '!L14+'E Balans VL '!N14)/100/3.6*1000000</f>
        <v>66.962697292210478</v>
      </c>
      <c r="G10" s="35"/>
      <c r="H10" s="34"/>
      <c r="I10" s="34"/>
      <c r="J10" s="34">
        <f>$C$30*('E Balans VL '!D14+'E Balans VL '!E14)/100/3.6*1000000</f>
        <v>0</v>
      </c>
      <c r="K10" s="34"/>
      <c r="L10" s="34"/>
      <c r="M10" s="34"/>
      <c r="N10" s="34">
        <f>$C$30*'E Balans VL '!Y14/100/3.6*1000000</f>
        <v>132.12745971614748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3665.31839153074</v>
      </c>
      <c r="C12" s="34"/>
      <c r="D12" s="38">
        <f>IF(ISERROR(TER_rest_gas_kWh/1000),0,TER_rest_gas_kWh/1000)*0.902</f>
        <v>18078.466984158611</v>
      </c>
      <c r="E12" s="34">
        <f>$C$32*'E Balans VL '!I8/100/3.6*1000000</f>
        <v>31.669599646309276</v>
      </c>
      <c r="F12" s="34">
        <f>$C$32*('E Balans VL '!L8+'E Balans VL '!N8)/100/3.6*1000000</f>
        <v>730.0851144239532</v>
      </c>
      <c r="G12" s="35"/>
      <c r="H12" s="34"/>
      <c r="I12" s="34"/>
      <c r="J12" s="34">
        <f>$C$32*('E Balans VL '!D8+'E Balans VL '!E8)/100/3.6*1000000</f>
        <v>0</v>
      </c>
      <c r="K12" s="34"/>
      <c r="L12" s="34"/>
      <c r="M12" s="34"/>
      <c r="N12" s="34">
        <f>$C$32*'E Balans VL '!Y8/100/3.6*1000000</f>
        <v>241.07860489697237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10274.166922015102</v>
      </c>
      <c r="C16" s="22">
        <f t="shared" ca="1" si="1"/>
        <v>0</v>
      </c>
      <c r="D16" s="22">
        <f t="shared" ca="1" si="1"/>
        <v>21104.84324837137</v>
      </c>
      <c r="E16" s="22">
        <f t="shared" si="1"/>
        <v>113.47331029235231</v>
      </c>
      <c r="F16" s="22">
        <f t="shared" ca="1" si="1"/>
        <v>2006.4169075422485</v>
      </c>
      <c r="G16" s="22">
        <f t="shared" si="1"/>
        <v>0</v>
      </c>
      <c r="H16" s="22">
        <f t="shared" si="1"/>
        <v>0</v>
      </c>
      <c r="I16" s="22">
        <f t="shared" si="1"/>
        <v>0</v>
      </c>
      <c r="J16" s="22">
        <f t="shared" si="1"/>
        <v>0</v>
      </c>
      <c r="K16" s="22">
        <f t="shared" si="1"/>
        <v>0</v>
      </c>
      <c r="L16" s="22">
        <f t="shared" ca="1" si="1"/>
        <v>0</v>
      </c>
      <c r="M16" s="22">
        <f t="shared" si="1"/>
        <v>0</v>
      </c>
      <c r="N16" s="22">
        <f t="shared" ca="1" si="1"/>
        <v>392.38165205135874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0.21293033380377477</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2187.6817922603768</v>
      </c>
      <c r="C20" s="24">
        <f t="shared" ref="C20:P20" ca="1" si="2">C16*C18</f>
        <v>0</v>
      </c>
      <c r="D20" s="24">
        <f t="shared" ca="1" si="2"/>
        <v>4263.1783361710168</v>
      </c>
      <c r="E20" s="24">
        <f t="shared" si="2"/>
        <v>25.758441436363974</v>
      </c>
      <c r="F20" s="24">
        <f t="shared" ca="1" si="2"/>
        <v>535.71331431378042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1581.2957835826101</v>
      </c>
      <c r="C26" s="40">
        <f>IF(ISERROR(B26*3.6/1000000/'E Balans VL '!Z12*100),0,B26*3.6/1000000/'E Balans VL '!Z12*100)</f>
        <v>3.3601401404834787E-2</v>
      </c>
      <c r="D26" s="240" t="s">
        <v>707</v>
      </c>
      <c r="F26" s="6"/>
    </row>
    <row r="27" spans="1:18">
      <c r="A27" s="234" t="s">
        <v>53</v>
      </c>
      <c r="B27" s="34">
        <f>IF(ISERROR(TER_horeca_ele_kWh/1000),0,TER_horeca_ele_kWh/1000)</f>
        <v>1118.62077282729</v>
      </c>
      <c r="C27" s="40">
        <f>IF(ISERROR(B27*3.6/1000000/'E Balans VL '!Z9*100),0,B27*3.6/1000000/'E Balans VL '!Z9*100)</f>
        <v>8.8044105078430787E-2</v>
      </c>
      <c r="D27" s="240" t="s">
        <v>707</v>
      </c>
      <c r="F27" s="6"/>
    </row>
    <row r="28" spans="1:18">
      <c r="A28" s="174" t="s">
        <v>52</v>
      </c>
      <c r="B28" s="34">
        <f>IF(ISERROR(TER_handel_ele_kWh/1000),0,TER_handel_ele_kWh/1000)</f>
        <v>3559.2067660099397</v>
      </c>
      <c r="C28" s="40">
        <f>IF(ISERROR(B28*3.6/1000000/'E Balans VL '!Z13*100),0,B28*3.6/1000000/'E Balans VL '!Z13*100)</f>
        <v>9.9695286328198171E-2</v>
      </c>
      <c r="D28" s="240" t="s">
        <v>707</v>
      </c>
      <c r="F28" s="6"/>
    </row>
    <row r="29" spans="1:18">
      <c r="A29" s="234" t="s">
        <v>51</v>
      </c>
      <c r="B29" s="34">
        <f>IF(ISERROR(TER_gezond_ele_kWh/1000),0,TER_gezond_ele_kWh/1000)</f>
        <v>120.682725171615</v>
      </c>
      <c r="C29" s="40">
        <f>IF(ISERROR(B29*3.6/1000000/'E Balans VL '!Z10*100),0,B29*3.6/1000000/'E Balans VL '!Z10*100)</f>
        <v>1.5438969848085465E-2</v>
      </c>
      <c r="D29" s="240" t="s">
        <v>707</v>
      </c>
      <c r="F29" s="6"/>
    </row>
    <row r="30" spans="1:18">
      <c r="A30" s="234" t="s">
        <v>50</v>
      </c>
      <c r="B30" s="34">
        <f>IF(ISERROR(TER_ander_ele_kWh/1000),0,TER_ander_ele_kWh/1000)</f>
        <v>229.04248289290601</v>
      </c>
      <c r="C30" s="40">
        <f>IF(ISERROR(B30*3.6/1000000/'E Balans VL '!Z14*100),0,B30*3.6/1000000/'E Balans VL '!Z14*100)</f>
        <v>1.7130447774714484E-2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3665.31839153074</v>
      </c>
      <c r="C32" s="40">
        <f>IF(ISERROR(B32*3.6/1000000/'E Balans VL '!Z8*100),0,B32*3.6/1000000/'E Balans VL '!Z8*100)</f>
        <v>3.019464390763682E-2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131549.38808911396</v>
      </c>
      <c r="C5" s="18">
        <f>IF(ISERROR('Eigen informatie GS &amp; warmtenet'!B59),0,'Eigen informatie GS &amp; warmtenet'!B59)</f>
        <v>0</v>
      </c>
      <c r="D5" s="31">
        <f>SUM(D6:D15)</f>
        <v>123348.01018643114</v>
      </c>
      <c r="E5" s="18">
        <f>SUM(E6:E15)</f>
        <v>1216.9333402777111</v>
      </c>
      <c r="F5" s="18">
        <f>SUM(F6:F15)</f>
        <v>25481.837841780332</v>
      </c>
      <c r="G5" s="19"/>
      <c r="H5" s="18"/>
      <c r="I5" s="18"/>
      <c r="J5" s="18">
        <f>SUM(J6:J15)</f>
        <v>601.78562354000599</v>
      </c>
      <c r="K5" s="18"/>
      <c r="L5" s="18"/>
      <c r="M5" s="18"/>
      <c r="N5" s="18">
        <f>SUM(N6:N15)</f>
        <v>4270.9307507417116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709.47482591739708</v>
      </c>
      <c r="C8" s="34"/>
      <c r="D8" s="38">
        <f>IF( ISERROR(IND_metaal_Gas_kWH/1000),0,IND_metaal_Gas_kWH/1000)*0.902</f>
        <v>0</v>
      </c>
      <c r="E8" s="34">
        <f>C30*'E Balans VL '!I18/100/3.6*1000000</f>
        <v>6.4610593835009444</v>
      </c>
      <c r="F8" s="34">
        <f>C30*'E Balans VL '!L18/100/3.6*1000000+C30*'E Balans VL '!N18/100/3.6*1000000</f>
        <v>93.574341694137516</v>
      </c>
      <c r="G8" s="35"/>
      <c r="H8" s="34"/>
      <c r="I8" s="34"/>
      <c r="J8" s="41">
        <f>C30*'E Balans VL '!D18/100/3.6*1000000+C30*'E Balans VL '!E18/100/3.6*1000000</f>
        <v>11.634357024691605</v>
      </c>
      <c r="K8" s="34"/>
      <c r="L8" s="34"/>
      <c r="M8" s="34"/>
      <c r="N8" s="34">
        <f>C30*'E Balans VL '!Y18/100/3.6*1000000</f>
        <v>2.4381831385264672</v>
      </c>
      <c r="O8" s="34"/>
      <c r="P8" s="34"/>
      <c r="R8" s="33"/>
    </row>
    <row r="9" spans="1:18">
      <c r="A9" s="6" t="s">
        <v>33</v>
      </c>
      <c r="B9" s="38">
        <f t="shared" si="0"/>
        <v>1054.4850730338699</v>
      </c>
      <c r="C9" s="34"/>
      <c r="D9" s="38">
        <f>IF( ISERROR(IND_andere_gas_kWh/1000),0,IND_andere_gas_kWh/1000)*0.902</f>
        <v>132.56427656742125</v>
      </c>
      <c r="E9" s="34">
        <f>C31*'E Balans VL '!I19/100/3.6*1000000</f>
        <v>6.0950813018960428</v>
      </c>
      <c r="F9" s="34">
        <f>C31*'E Balans VL '!L19/100/3.6*1000000+C31*'E Balans VL '!N19/100/3.6*1000000</f>
        <v>838.89361541230971</v>
      </c>
      <c r="G9" s="35"/>
      <c r="H9" s="34"/>
      <c r="I9" s="34"/>
      <c r="J9" s="41">
        <f>C31*'E Balans VL '!D19/100/3.6*1000000+C31*'E Balans VL '!E19/100/3.6*1000000</f>
        <v>9.9742575020566313E-2</v>
      </c>
      <c r="K9" s="34"/>
      <c r="L9" s="34"/>
      <c r="M9" s="34"/>
      <c r="N9" s="34">
        <f>C31*'E Balans VL '!Y19/100/3.6*1000000</f>
        <v>79.893202128916926</v>
      </c>
      <c r="O9" s="34"/>
      <c r="P9" s="34"/>
      <c r="R9" s="33"/>
    </row>
    <row r="10" spans="1:18">
      <c r="A10" s="6" t="s">
        <v>41</v>
      </c>
      <c r="B10" s="38">
        <f t="shared" si="0"/>
        <v>11319.456171509999</v>
      </c>
      <c r="C10" s="34"/>
      <c r="D10" s="38">
        <f>IF( ISERROR(IND_voed_gas_kWh/1000),0,IND_voed_gas_kWh/1000)*0.902</f>
        <v>33.263697287976107</v>
      </c>
      <c r="E10" s="34">
        <f>C32*'E Balans VL '!I20/100/3.6*1000000</f>
        <v>111.29986757608818</v>
      </c>
      <c r="F10" s="34">
        <f>C32*'E Balans VL '!L20/100/3.6*1000000+C32*'E Balans VL '!N20/100/3.6*1000000</f>
        <v>1257.1733566822982</v>
      </c>
      <c r="G10" s="35"/>
      <c r="H10" s="34"/>
      <c r="I10" s="34"/>
      <c r="J10" s="41">
        <f>C32*'E Balans VL '!D20/100/3.6*1000000+C32*'E Balans VL '!E20/100/3.6*1000000</f>
        <v>4.4615115495813921E-2</v>
      </c>
      <c r="K10" s="34"/>
      <c r="L10" s="34"/>
      <c r="M10" s="34"/>
      <c r="N10" s="34">
        <f>C32*'E Balans VL '!Y20/100/3.6*1000000</f>
        <v>167.61451973254387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1139.6951100246899</v>
      </c>
      <c r="C13" s="34"/>
      <c r="D13" s="38">
        <f>IF( ISERROR(IND_papier_gas_kWh/1000),0,IND_papier_gas_kWh/1000)*0.902</f>
        <v>0</v>
      </c>
      <c r="E13" s="34">
        <f>C35*'E Balans VL '!I23/100/3.6*1000000</f>
        <v>38.819667898515362</v>
      </c>
      <c r="F13" s="34">
        <f>C35*'E Balans VL '!L23/100/3.6*1000000+C35*'E Balans VL '!N23/100/3.6*1000000</f>
        <v>188.25088410761384</v>
      </c>
      <c r="G13" s="35"/>
      <c r="H13" s="34"/>
      <c r="I13" s="34"/>
      <c r="J13" s="41">
        <f>C35*'E Balans VL '!D23/100/3.6*1000000+C35*'E Balans VL '!E23/100/3.6*1000000</f>
        <v>0</v>
      </c>
      <c r="K13" s="34"/>
      <c r="L13" s="34"/>
      <c r="M13" s="34"/>
      <c r="N13" s="34">
        <f>C35*'E Balans VL '!Y23/100/3.6*1000000</f>
        <v>419.37723623557753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117326.276908628</v>
      </c>
      <c r="C15" s="34"/>
      <c r="D15" s="38">
        <f>IF( ISERROR(IND_rest_gas_kWh/1000),0,IND_rest_gas_kWh/1000)*0.902</f>
        <v>123182.18221257575</v>
      </c>
      <c r="E15" s="34">
        <f>C37*'E Balans VL '!I15/100/3.6*1000000</f>
        <v>1054.2576641177106</v>
      </c>
      <c r="F15" s="34">
        <f>C37*'E Balans VL '!L15/100/3.6*1000000+C37*'E Balans VL '!N15/100/3.6*1000000</f>
        <v>23103.945643883973</v>
      </c>
      <c r="G15" s="35"/>
      <c r="H15" s="34"/>
      <c r="I15" s="34"/>
      <c r="J15" s="41">
        <f>C37*'E Balans VL '!D15/100/3.6*1000000+C37*'E Balans VL '!E15/100/3.6*1000000</f>
        <v>590.00690882479796</v>
      </c>
      <c r="K15" s="34"/>
      <c r="L15" s="34"/>
      <c r="M15" s="34"/>
      <c r="N15" s="34">
        <f>C37*'E Balans VL '!Y15/100/3.6*1000000</f>
        <v>3601.6076095061467</v>
      </c>
      <c r="O15" s="34"/>
      <c r="P15" s="34"/>
      <c r="R15" s="33"/>
    </row>
    <row r="16" spans="1:18">
      <c r="A16" s="17" t="s">
        <v>502</v>
      </c>
      <c r="B16" s="250">
        <f>'lokale energieproductie'!N89+'lokale energieproductie'!N58</f>
        <v>1143</v>
      </c>
      <c r="C16" s="250">
        <f>'lokale energieproductie'!O89+'lokale energieproductie'!O58</f>
        <v>1632.8571428571429</v>
      </c>
      <c r="D16" s="312">
        <f>('lokale energieproductie'!P58+'lokale energieproductie'!P89)*(-1)</f>
        <v>-3265.7142857142858</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132692.38808911396</v>
      </c>
      <c r="C18" s="22">
        <f>C5+C16</f>
        <v>1632.8571428571429</v>
      </c>
      <c r="D18" s="22">
        <f>MAX((D5+D16),0)</f>
        <v>120082.29590071685</v>
      </c>
      <c r="E18" s="22">
        <f>MAX((E5+E16),0)</f>
        <v>1216.9333402777111</v>
      </c>
      <c r="F18" s="22">
        <f>MAX((F5+F16),0)</f>
        <v>25481.837841780332</v>
      </c>
      <c r="G18" s="22"/>
      <c r="H18" s="22"/>
      <c r="I18" s="22"/>
      <c r="J18" s="22">
        <f>MAX((J5+J16),0)</f>
        <v>601.78562354000599</v>
      </c>
      <c r="K18" s="22"/>
      <c r="L18" s="22">
        <f>MAX((L5+L16),0)</f>
        <v>0</v>
      </c>
      <c r="M18" s="22"/>
      <c r="N18" s="22">
        <f>MAX((N5+N16),0)</f>
        <v>4270.9307507417116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0.21293033380377477</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28254.234489035061</v>
      </c>
      <c r="C22" s="24">
        <f ca="1">C18*C20</f>
        <v>388.04369747899159</v>
      </c>
      <c r="D22" s="24">
        <f>D18*D20</f>
        <v>24256.623771944807</v>
      </c>
      <c r="E22" s="24">
        <f>E18*E20</f>
        <v>276.24386824304042</v>
      </c>
      <c r="F22" s="24">
        <f>F18*F20</f>
        <v>6803.6507037553492</v>
      </c>
      <c r="G22" s="24"/>
      <c r="H22" s="24"/>
      <c r="I22" s="24"/>
      <c r="J22" s="24">
        <f>J18*J20</f>
        <v>213.03211073316211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709.47482591739708</v>
      </c>
      <c r="C30" s="40">
        <f>IF(ISERROR(B30*3.6/1000000/'E Balans VL '!Z18*100),0,B30*3.6/1000000/'E Balans VL '!Z18*100)</f>
        <v>3.9477529844846385E-2</v>
      </c>
      <c r="D30" s="240" t="s">
        <v>707</v>
      </c>
    </row>
    <row r="31" spans="1:18">
      <c r="A31" s="6" t="s">
        <v>33</v>
      </c>
      <c r="B31" s="38">
        <f>IF( ISERROR(IND_ander_ele_kWh/1000),0,IND_ander_ele_kWh/1000)</f>
        <v>1054.4850730338699</v>
      </c>
      <c r="C31" s="40">
        <f>IF(ISERROR(B31*3.6/1000000/'E Balans VL '!Z19*100),0,B31*3.6/1000000/'E Balans VL '!Z19*100)</f>
        <v>4.9020241648332942E-2</v>
      </c>
      <c r="D31" s="240" t="s">
        <v>707</v>
      </c>
    </row>
    <row r="32" spans="1:18">
      <c r="A32" s="174" t="s">
        <v>41</v>
      </c>
      <c r="B32" s="38">
        <f>IF( ISERROR(IND_voed_ele_kWh/1000),0,IND_voed_ele_kWh/1000)</f>
        <v>11319.456171509999</v>
      </c>
      <c r="C32" s="40">
        <f>IF(ISERROR(B32*3.6/1000000/'E Balans VL '!Z20*100),0,B32*3.6/1000000/'E Balans VL '!Z20*100)</f>
        <v>0.40011991505298328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1139.6951100246899</v>
      </c>
      <c r="C35" s="40">
        <f>IF(ISERROR(B35*3.6/1000000/'E Balans VL '!Z22*100),0,B35*3.6/1000000/'E Balans VL '!Z22*100)</f>
        <v>0.22904657879862406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117326.276908628</v>
      </c>
      <c r="C37" s="40">
        <f>IF(ISERROR(B37*3.6/1000000/'E Balans VL '!Z15*100),0,B37*3.6/1000000/'E Balans VL '!Z15*100)</f>
        <v>0.88598670777927813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2639.1823403357562</v>
      </c>
      <c r="C5" s="18">
        <f>'Eigen informatie GS &amp; warmtenet'!B60</f>
        <v>0</v>
      </c>
      <c r="D5" s="31">
        <f>IF(ISERROR(SUM(LB_lb_gas_kWh,LB_rest_gas_kWh,onbekend_gas_kWh)/1000),0,SUM(LB_lb_gas_kWh,LB_rest_gas_kWh,onbekend_gas_kWh)/1000)*0.902</f>
        <v>1112.5205661006821</v>
      </c>
      <c r="E5" s="18">
        <f>B17*'E Balans VL '!I25/3.6*1000000/100</f>
        <v>24.862865956136893</v>
      </c>
      <c r="F5" s="18">
        <f>B17*('E Balans VL '!L25/3.6*1000000+'E Balans VL '!N25/3.6*1000000)/100</f>
        <v>8612.5278442127692</v>
      </c>
      <c r="G5" s="19"/>
      <c r="H5" s="18"/>
      <c r="I5" s="18"/>
      <c r="J5" s="18">
        <f>('E Balans VL '!D25+'E Balans VL '!E25)/3.6*1000000*landbouw!B17/100</f>
        <v>326.47969247997048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2639.1823403357562</v>
      </c>
      <c r="C8" s="22">
        <f>C5+C6</f>
        <v>0</v>
      </c>
      <c r="D8" s="22">
        <f>MAX((D5+D6),0)</f>
        <v>1112.5205661006821</v>
      </c>
      <c r="E8" s="22">
        <f>MAX((E5+E6),0)</f>
        <v>24.862865956136893</v>
      </c>
      <c r="F8" s="22">
        <f>MAX((F5+F6),0)</f>
        <v>8612.5278442127692</v>
      </c>
      <c r="G8" s="22"/>
      <c r="H8" s="22"/>
      <c r="I8" s="22"/>
      <c r="J8" s="22">
        <f>MAX((J5+J6),0)</f>
        <v>326.47969247997048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0.21293033380377477</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561.96197669672006</v>
      </c>
      <c r="C12" s="24">
        <f ca="1">C8*C10</f>
        <v>0</v>
      </c>
      <c r="D12" s="24">
        <f>D8*D10</f>
        <v>224.72915435233782</v>
      </c>
      <c r="E12" s="24">
        <f>E8*E10</f>
        <v>5.6438705720430749</v>
      </c>
      <c r="F12" s="24">
        <f>F8*F10</f>
        <v>2299.5449344048093</v>
      </c>
      <c r="G12" s="24"/>
      <c r="H12" s="24"/>
      <c r="I12" s="24"/>
      <c r="J12" s="24">
        <f>J8*J10</f>
        <v>115.57381113790954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0.3573031160957989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387.42705469645199</v>
      </c>
      <c r="C26" s="250">
        <f>B26*'GWP N2O_CH4'!B5</f>
        <v>8135.9681486254922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130.97387453320971</v>
      </c>
      <c r="C27" s="250">
        <f>B27*'GWP N2O_CH4'!B5</f>
        <v>2750.4513651974039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5.5620336451200441</v>
      </c>
      <c r="C28" s="250">
        <f>B28*'GWP N2O_CH4'!B4</f>
        <v>1724.2304299872137</v>
      </c>
      <c r="D28" s="51"/>
    </row>
    <row r="29" spans="1:4">
      <c r="A29" s="42" t="s">
        <v>277</v>
      </c>
      <c r="B29" s="250">
        <f>B34*'ha_N2O bodem landbouw'!B4</f>
        <v>16.849439629399129</v>
      </c>
      <c r="C29" s="250">
        <f>B29*'GWP N2O_CH4'!B4</f>
        <v>5223.3262851137297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4.5488182750821546E-3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1.7533904059462935E-5</v>
      </c>
      <c r="C5" s="447" t="s">
        <v>211</v>
      </c>
      <c r="D5" s="432">
        <f>SUM(D6:D11)</f>
        <v>4.6045937111655741E-5</v>
      </c>
      <c r="E5" s="432">
        <f>SUM(E6:E11)</f>
        <v>3.1670533633586873E-3</v>
      </c>
      <c r="F5" s="445" t="s">
        <v>211</v>
      </c>
      <c r="G5" s="432">
        <f>SUM(G6:G11)</f>
        <v>0.87008145562321126</v>
      </c>
      <c r="H5" s="432">
        <f>SUM(H6:H11)</f>
        <v>0.10705233592449541</v>
      </c>
      <c r="I5" s="447" t="s">
        <v>211</v>
      </c>
      <c r="J5" s="447" t="s">
        <v>211</v>
      </c>
      <c r="K5" s="447" t="s">
        <v>211</v>
      </c>
      <c r="L5" s="447" t="s">
        <v>211</v>
      </c>
      <c r="M5" s="432">
        <f>SUM(M6:M11)</f>
        <v>4.3642172663904591E-2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4.1402035848095255E-6</v>
      </c>
      <c r="C6" s="433"/>
      <c r="D6" s="433">
        <f>vkm_2011_GW_PW*SUMIFS(TableVerdeelsleutelVkm[CNG],TableVerdeelsleutelVkm[Voertuigtype],"Lichte voertuigen")*SUMIFS(TableECFTransport[EnergieConsumptieFactor (PJ per km)],TableECFTransport[Index],CONCATENATE($A6,"_CNG_CNG"))</f>
        <v>1.0110446490535011E-5</v>
      </c>
      <c r="E6" s="435">
        <f>vkm_2011_GW_PW*SUMIFS(TableVerdeelsleutelVkm[LPG],TableVerdeelsleutelVkm[Voertuigtype],"Lichte voertuigen")*SUMIFS(TableECFTransport[EnergieConsumptieFactor (PJ per km)],TableECFTransport[Index],CONCATENATE($A6,"_LPG_LPG"))</f>
        <v>5.9929501857658083E-4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8.6635144728044955E-2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2.270458245161833E-2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4.896434344563232E-3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4.2313463670211389E-2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1.7071832927642832E-5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1.8850517148139255E-3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1.1247084337257601E-6</v>
      </c>
      <c r="C8" s="433"/>
      <c r="D8" s="435">
        <f>vkm_2011_NGW_PW*SUMIFS(TableVerdeelsleutelVkm[CNG],TableVerdeelsleutelVkm[Voertuigtype],"Lichte voertuigen")*SUMIFS(TableECFTransport[EnergieConsumptieFactor (PJ per km)],TableECFTransport[Index],CONCATENATE($A8,"_CNG_CNG"))</f>
        <v>4.9277895974138035E-6</v>
      </c>
      <c r="E8" s="435">
        <f>vkm_2011_NGW_PW*SUMIFS(TableVerdeelsleutelVkm[LPG],TableVerdeelsleutelVkm[Voertuigtype],"Lichte voertuigen")*SUMIFS(TableECFTransport[EnergieConsumptieFactor (PJ per km)],TableECFTransport[Index],CONCATENATE($A8,"_LPG_LPG"))</f>
        <v>2.6796686306805633E-4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3.6594981334867535E-2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1.0596884249064267E-2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2.1143010071394993E-3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4.6756060323421798E-3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1.6425017227201987E-6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2.0828564554584335E-4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1.226899204092765E-5</v>
      </c>
      <c r="C10" s="433"/>
      <c r="D10" s="435">
        <f>vkm_2011_SW_PW*SUMIFS(TableVerdeelsleutelVkm[CNG],TableVerdeelsleutelVkm[Voertuigtype],"Lichte voertuigen")*SUMIFS(TableECFTransport[EnergieConsumptieFactor (PJ per km)],TableECFTransport[Index],CONCATENATE($A10,"_CNG_CNG"))</f>
        <v>3.1007701023706928E-5</v>
      </c>
      <c r="E10" s="435">
        <f>vkm_2011_SW_PW*SUMIFS(TableVerdeelsleutelVkm[LPG],TableVerdeelsleutelVkm[Voertuigtype],"Lichte voertuigen")*SUMIFS(TableECFTransport[EnergieConsumptieFactor (PJ per km)],TableECFTransport[Index],CONCATENATE($A10,"_LPG_LPG"))</f>
        <v>2.29979148171405E-3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0.30298466490526305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7.356227088113737E-2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1.6856879514794271E-2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0.39687759495248209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1.698840080250696E-4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1.7681220437047816E-2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4.8705289054063714</v>
      </c>
      <c r="C14" s="22"/>
      <c r="D14" s="22">
        <f t="shared" ref="D14:M14" si="0">((D5)*10^9/3600)+D12</f>
        <v>12.790538086571038</v>
      </c>
      <c r="E14" s="22">
        <f t="shared" si="0"/>
        <v>879.7370453774131</v>
      </c>
      <c r="F14" s="22"/>
      <c r="G14" s="22">
        <f t="shared" si="0"/>
        <v>241689.29322866979</v>
      </c>
      <c r="H14" s="22">
        <f t="shared" si="0"/>
        <v>29736.759979026505</v>
      </c>
      <c r="I14" s="22"/>
      <c r="J14" s="22"/>
      <c r="K14" s="22"/>
      <c r="L14" s="22"/>
      <c r="M14" s="22">
        <f t="shared" si="0"/>
        <v>12122.825739973498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0.21293033380377477</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1.0370833456291124</v>
      </c>
      <c r="C18" s="24"/>
      <c r="D18" s="24">
        <f t="shared" ref="D18:M18" si="1">D14*D16</f>
        <v>2.5836886934873498</v>
      </c>
      <c r="E18" s="24">
        <f t="shared" si="1"/>
        <v>199.70030930067279</v>
      </c>
      <c r="F18" s="24"/>
      <c r="G18" s="24">
        <f t="shared" si="1"/>
        <v>64531.041292054841</v>
      </c>
      <c r="H18" s="24">
        <f t="shared" si="1"/>
        <v>7404.4532347775994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1.7784098001248905E-3</v>
      </c>
      <c r="H50" s="323">
        <f t="shared" si="2"/>
        <v>0</v>
      </c>
      <c r="I50" s="323">
        <f t="shared" si="2"/>
        <v>0</v>
      </c>
      <c r="J50" s="323">
        <f t="shared" si="2"/>
        <v>0</v>
      </c>
      <c r="K50" s="323">
        <f t="shared" si="2"/>
        <v>0</v>
      </c>
      <c r="L50" s="323">
        <f t="shared" si="2"/>
        <v>0</v>
      </c>
      <c r="M50" s="323">
        <f t="shared" si="2"/>
        <v>7.8092907993953541E-5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1.7784098001248905E-3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7.8092907993953541E-5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494.00272225691401</v>
      </c>
      <c r="H54" s="22">
        <f t="shared" si="3"/>
        <v>0</v>
      </c>
      <c r="I54" s="22">
        <f t="shared" si="3"/>
        <v>0</v>
      </c>
      <c r="J54" s="22">
        <f t="shared" si="3"/>
        <v>0</v>
      </c>
      <c r="K54" s="22">
        <f t="shared" si="3"/>
        <v>0</v>
      </c>
      <c r="L54" s="22">
        <f t="shared" si="3"/>
        <v>0</v>
      </c>
      <c r="M54" s="22">
        <f t="shared" si="3"/>
        <v>21.692474442764873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0.21293033380377477</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131.89872684259606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6068.3979490459305</v>
      </c>
      <c r="C6" s="1190"/>
      <c r="D6" s="1193"/>
      <c r="E6" s="1193"/>
      <c r="F6" s="1196"/>
      <c r="G6" s="1199"/>
      <c r="H6" s="1187"/>
      <c r="I6" s="1193"/>
      <c r="J6" s="1193"/>
      <c r="K6" s="1193"/>
      <c r="L6" s="1223"/>
      <c r="M6" s="560"/>
      <c r="N6" s="1235"/>
      <c r="O6" s="1236"/>
      <c r="Q6" s="558"/>
      <c r="R6" s="1220"/>
      <c r="S6" s="1220"/>
    </row>
    <row r="7" spans="1:19" s="548" customFormat="1">
      <c r="A7" s="561" t="s">
        <v>252</v>
      </c>
      <c r="B7" s="562">
        <f>N57</f>
        <v>1143</v>
      </c>
      <c r="C7" s="563">
        <f>B100</f>
        <v>1344.7058823529412</v>
      </c>
      <c r="D7" s="564"/>
      <c r="E7" s="564">
        <f>E100</f>
        <v>0</v>
      </c>
      <c r="F7" s="565"/>
      <c r="G7" s="566"/>
      <c r="H7" s="564">
        <f>I100</f>
        <v>0</v>
      </c>
      <c r="I7" s="564">
        <f>G100+F100</f>
        <v>0</v>
      </c>
      <c r="J7" s="564">
        <f>H100+D100+C100</f>
        <v>0</v>
      </c>
      <c r="K7" s="564"/>
      <c r="L7" s="567"/>
      <c r="M7" s="568">
        <f>C7*$C$11+D7*$D$11+E7*$E$11+F7*$F$11+G7*$G$11+H7*$H$11+I7*$I$11+J7*$J$11</f>
        <v>271.63058823529417</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7211.3979490459305</v>
      </c>
      <c r="C9" s="579">
        <f t="shared" ref="C9:L9" si="0">SUM(C7:C8)</f>
        <v>1344.7058823529412</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271.63058823529417</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1632.8571428571429</v>
      </c>
      <c r="C16" s="595">
        <f>B101</f>
        <v>1921.0084033613443</v>
      </c>
      <c r="D16" s="596"/>
      <c r="E16" s="596">
        <f>E101</f>
        <v>0</v>
      </c>
      <c r="F16" s="597"/>
      <c r="G16" s="598"/>
      <c r="H16" s="595">
        <f>I101</f>
        <v>0</v>
      </c>
      <c r="I16" s="596">
        <f>G101+F101</f>
        <v>0</v>
      </c>
      <c r="J16" s="596">
        <f>H101+D101+C101</f>
        <v>0</v>
      </c>
      <c r="K16" s="596"/>
      <c r="L16" s="599"/>
      <c r="M16" s="600">
        <f>C16*$C$21+E16*$E$21+H16*$H$21+I16*$I$21+J16*$J$21+D16*$D$21+F16*$F$21+G16*$G$21+K16*$K$21+L16*$L$21</f>
        <v>388.04369747899159</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1632.8571428571429</v>
      </c>
      <c r="C19" s="578">
        <f>SUM(C16:C18)</f>
        <v>1921.0084033613443</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388.04369747899159</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45017</v>
      </c>
      <c r="C27" s="840">
        <v>9770</v>
      </c>
      <c r="D27" s="657" t="s">
        <v>914</v>
      </c>
      <c r="E27" s="656" t="s">
        <v>915</v>
      </c>
      <c r="F27" s="656" t="s">
        <v>916</v>
      </c>
      <c r="G27" s="656" t="s">
        <v>917</v>
      </c>
      <c r="H27" s="656" t="s">
        <v>918</v>
      </c>
      <c r="I27" s="656" t="s">
        <v>919</v>
      </c>
      <c r="J27" s="839">
        <v>40577</v>
      </c>
      <c r="K27" s="839">
        <v>40582</v>
      </c>
      <c r="L27" s="656" t="s">
        <v>920</v>
      </c>
      <c r="M27" s="656">
        <v>254</v>
      </c>
      <c r="N27" s="656">
        <v>1143</v>
      </c>
      <c r="O27" s="656">
        <v>1632.8571428571429</v>
      </c>
      <c r="P27" s="656">
        <v>3265.7142857142858</v>
      </c>
      <c r="Q27" s="656">
        <v>0</v>
      </c>
      <c r="R27" s="656">
        <v>0</v>
      </c>
      <c r="S27" s="656">
        <v>0</v>
      </c>
      <c r="T27" s="656">
        <v>0</v>
      </c>
      <c r="U27" s="656">
        <v>0</v>
      </c>
      <c r="V27" s="656">
        <v>0</v>
      </c>
      <c r="W27" s="656"/>
      <c r="X27" s="656">
        <v>600</v>
      </c>
      <c r="Y27" s="656" t="s">
        <v>40</v>
      </c>
      <c r="Z27" s="658" t="s">
        <v>391</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254</v>
      </c>
      <c r="N57" s="614">
        <f>SUM(N27:N56)</f>
        <v>1143</v>
      </c>
      <c r="O57" s="614">
        <f t="shared" ref="O57:W57" si="2">SUM(O27:O56)</f>
        <v>1632.8571428571429</v>
      </c>
      <c r="P57" s="614">
        <f t="shared" si="2"/>
        <v>3265.7142857142858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254</v>
      </c>
      <c r="N58" s="614">
        <f t="shared" ref="N58:W58" si="3">SUMIF($Z$27:$Z$56,"industrie",N27:N56)</f>
        <v>1143</v>
      </c>
      <c r="O58" s="614">
        <f t="shared" si="3"/>
        <v>1632.8571428571429</v>
      </c>
      <c r="P58" s="614">
        <f t="shared" si="3"/>
        <v>3265.7142857142858</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0.58823529411764697</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1344.7058823529412</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1921.0084033613443</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2018-12-05T16:08:01Z</dcterms:modified>
</cp:coreProperties>
</file>