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F16" i="16"/>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G101" i="18"/>
  <c r="F81" i="14"/>
  <c r="C101" i="18"/>
  <c r="J41" i="14"/>
  <c r="J53" s="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I7" s="1"/>
  <c r="C100"/>
  <c r="J7" s="1"/>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I14" i="48"/>
  <c r="E5" i="15"/>
  <c r="O20"/>
  <c r="P36" i="14" s="1"/>
  <c r="P10"/>
  <c r="P20" i="15"/>
  <c r="Q36" i="14" s="1"/>
  <c r="Q41" s="1"/>
  <c r="Q53" s="1"/>
  <c r="Q10"/>
  <c r="J5" i="15"/>
  <c r="F4" i="48"/>
  <c r="F21" s="1"/>
  <c r="B69" i="14"/>
  <c r="B4" i="6" s="1"/>
  <c r="D15" i="14"/>
  <c r="J23"/>
  <c r="L53"/>
  <c r="L2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M25"/>
  <c r="M24"/>
  <c r="I31"/>
  <c r="C50" i="13"/>
  <c r="J5" s="1"/>
  <c r="J8" s="1"/>
  <c r="E7" i="48"/>
  <c r="E24" s="1"/>
  <c r="E12" i="17"/>
  <c r="F48" i="14" s="1"/>
  <c r="C5" i="48"/>
  <c r="C14" s="1"/>
  <c r="H14" i="22" l="1"/>
  <c r="H9" i="48" s="1"/>
  <c r="E13" i="14"/>
  <c r="Q15"/>
  <c r="Q23" s="1"/>
  <c r="Q55" s="1"/>
  <c r="D18" i="22"/>
  <c r="E45" i="14" s="1"/>
  <c r="E46"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N46" s="1"/>
  <c r="N53" s="1"/>
  <c r="E5" i="48"/>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H18" i="22" l="1"/>
  <c r="I45" i="14" s="1"/>
  <c r="I46" s="1"/>
  <c r="I53" s="1"/>
  <c r="I55" s="1"/>
  <c r="I19"/>
  <c r="I20" s="1"/>
  <c r="I23" s="1"/>
  <c r="O31" i="48"/>
  <c r="R22"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H26"/>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Q8" s="1"/>
  <c r="Q14" s="1"/>
  <c r="Q9"/>
  <c r="K13" i="14"/>
  <c r="K15" s="1"/>
  <c r="K23" s="1"/>
  <c r="J31" i="48"/>
  <c r="E25"/>
  <c r="E31" s="1"/>
  <c r="E14"/>
  <c r="N25"/>
  <c r="N31" s="1"/>
  <c r="N14"/>
  <c r="E22" i="16"/>
  <c r="F39" i="14" s="1"/>
  <c r="F41" s="1"/>
  <c r="F53" s="1"/>
  <c r="J22" i="16"/>
  <c r="K39" i="14" s="1"/>
  <c r="K41" s="1"/>
  <c r="K53" s="1"/>
  <c r="K55" s="1"/>
  <c r="F13"/>
  <c r="F15" s="1"/>
  <c r="F23" s="1"/>
  <c r="F55" s="1"/>
  <c r="G14" i="48"/>
  <c r="H55" i="14"/>
  <c r="M14" i="48"/>
  <c r="R19" i="14"/>
  <c r="R20" s="1"/>
  <c r="M26" i="48"/>
  <c r="M31" s="1"/>
  <c r="O53" i="14"/>
  <c r="M53"/>
  <c r="M55" s="1"/>
  <c r="C12" i="13"/>
  <c r="D37" i="14" s="1"/>
  <c r="D41" s="1"/>
  <c r="C24" i="48"/>
  <c r="C28"/>
  <c r="C22"/>
  <c r="C25"/>
  <c r="C21"/>
  <c r="F25"/>
  <c r="F31" s="1"/>
  <c r="F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<sst xmlns="http://schemas.openxmlformats.org/spreadsheetml/2006/main" count="2205" uniqueCount="914">
  <si>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</si>
  <si>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</si>
  <si>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</si>
  <si>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</si>
  <si>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</si>
  <si>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</si>
  <si>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</si>
  <si>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</si>
  <si>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</si>
  <si>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</si>
  <si>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</si>
  <si>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</si>
  <si>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</si>
  <si>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</si>
  <si>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</si>
  <si>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</si>
  <si>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</si>
  <si>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</si>
  <si>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</si>
  <si>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</si>
  <si>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</si>
  <si>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</si>
  <si>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</si>
  <si>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</si>
  <si>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</si>
  <si>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</si>
  <si>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</si>
  <si>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</si>
  <si>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</si>
  <si>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</si>
  <si>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</si>
  <si>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</si>
  <si>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</si>
  <si>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</si>
  <si>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</si>
  <si>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</si>
  <si>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</si>
  <si>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</si>
  <si>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</si>
  <si>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</si>
  <si>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</si>
  <si>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</si>
  <si>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</si>
  <si>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</si>
  <si>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</si>
  <si>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</si>
  <si>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</si>
  <si>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</si>
  <si>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</si>
  <si>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</si>
  <si>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</si>
  <si>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</si>
  <si>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</si>
  <si>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</si>
  <si>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</si>
  <si>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</si>
  <si>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</si>
  <si>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</si>
  <si>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</si>
  <si>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</si>
  <si>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</si>
  <si>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</si>
  <si>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</si>
  <si>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</si>
  <si>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</si>
  <si>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</si>
  <si>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</si>
  <si>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</si>
  <si>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</si>
  <si>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</si>
  <si>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</si>
  <si>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</si>
  <si>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</si>
  <si>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</si>
  <si>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</si>
  <si>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</si>
  <si>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</si>
  <si>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</si>
  <si>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</si>
  <si>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</si>
  <si>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</si>
  <si>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</si>
  <si>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</si>
  <si>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</si>
  <si>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</si>
  <si>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</si>
  <si>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</si>
  <si>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</si>
  <si>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</si>
  <si>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</si>
  <si>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</si>
  <si>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</si>
  <si>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</si>
  <si>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</si>
  <si>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</si>
  <si>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</si>
  <si>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</si>
  <si>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</si>
  <si>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</si>
  <si>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</si>
  <si>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</si>
  <si>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</si>
  <si>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</si>
  <si>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</si>
  <si>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</si>
  <si>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</si>
  <si>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</si>
  <si>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</si>
  <si>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</si>
  <si>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</si>
  <si>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</si>
  <si>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</si>
  <si>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</si>
  <si>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</si>
  <si>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</si>
  <si>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</si>
  <si>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</si>
  <si>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</si>
  <si>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</si>
  <si>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</si>
  <si>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</si>
  <si>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</si>
  <si>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</si>
  <si>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</si>
  <si>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</si>
  <si>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</si>
  <si>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</si>
  <si>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</si>
  <si>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</si>
  <si>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</si>
  <si>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</si>
  <si>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</si>
  <si>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</si>
  <si>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</si>
  <si>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</si>
  <si>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</si>
  <si>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</si>
  <si>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</si>
  <si>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</si>
  <si>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</si>
  <si>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</si>
  <si>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</si>
  <si>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</si>
  <si>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</si>
  <si>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</si>
  <si>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</si>
  <si>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</si>
  <si>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</si>
  <si>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</si>
  <si>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</si>
  <si>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</si>
  <si>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</si>
  <si>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</si>
  <si>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</si>
  <si>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</si>
  <si>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</si>
  <si>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</si>
  <si>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</si>
  <si>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</si>
  <si>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</si>
  <si>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</si>
  <si>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</si>
  <si>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</si>
  <si>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</si>
  <si>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</si>
  <si>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</si>
  <si>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</si>
  <si>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</si>
  <si>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</si>
  <si>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</si>
  <si>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</si>
  <si>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</si>
  <si>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</si>
  <si>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</si>
  <si>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</si>
  <si>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</si>
  <si>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</si>
  <si>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</si>
  <si>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</si>
  <si>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</si>
  <si>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</si>
  <si>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</si>
  <si>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</si>
  <si>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</si>
  <si>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</si>
  <si>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</si>
  <si>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</si>
  <si>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</si>
  <si>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</si>
  <si>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</si>
  <si>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</si>
  <si>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</si>
  <si>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</si>
  <si>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</si>
  <si>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</si>
  <si>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</si>
  <si>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</si>
  <si>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</si>
  <si>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</si>
  <si>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</si>
  <si>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</si>
  <si>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</si>
  <si>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</si>
  <si>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</si>
  <si>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</si>
  <si>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</si>
  <si>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</si>
  <si>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</si>
  <si>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</si>
  <si>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</si>
  <si>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</si>
  <si>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</si>
  <si>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</si>
  <si>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</si>
  <si>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</si>
  <si>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</si>
  <si>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</si>
  <si>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</si>
  <si>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</si>
  <si>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</si>
  <si>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</si>
  <si>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</si>
  <si>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</si>
  <si>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</si>
  <si>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</si>
  <si>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</si>
  <si>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</si>
  <si>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</si>
  <si>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</si>
  <si>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</si>
  <si>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</si>
  <si>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</si>
  <si>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</si>
  <si>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</si>
  <si>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</si>
  <si>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</si>
  <si>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</si>
  <si>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</si>
  <si>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</si>
  <si>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</si>
  <si>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</si>
  <si>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</si>
  <si>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</si>
  <si>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</si>
  <si>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</si>
  <si>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</si>
  <si>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</si>
  <si>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</si>
  <si>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</si>
  <si>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</si>
  <si>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</si>
  <si>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</si>
  <si>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</si>
  <si>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</si>
  <si>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</si>
  <si>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</si>
  <si>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</si>
  <si>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</si>
  <si>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</si>
  <si>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</si>
  <si>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</si>
  <si>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</si>
  <si>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</si>
  <si>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</si>
  <si>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</si>
  <si>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</si>
  <si>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</si>
  <si>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</si>
  <si>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</si>
  <si>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</si>
  <si>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</si>
  <si>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</si>
  <si>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</si>
  <si>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</si>
  <si>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</si>
  <si>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</si>
  <si>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</si>
  <si>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</si>
  <si>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</si>
  <si>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</si>
  <si>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</si>
  <si>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</si>
  <si>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</si>
  <si>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</si>
  <si>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</si>
  <si>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</si>
  <si>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</si>
  <si>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</si>
  <si>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</si>
  <si>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</si>
  <si>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</si>
  <si>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</si>
  <si>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</si>
  <si>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</si>
  <si>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</si>
  <si>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</si>
  <si>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</si>
  <si>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</si>
  <si>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</si>
  <si>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</si>
  <si>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</si>
  <si>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</si>
  <si>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</si>
  <si>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</si>
  <si>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</si>
  <si>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</si>
  <si>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</si>
  <si>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</si>
  <si>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</si>
  <si>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</si>
  <si>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</si>
  <si>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</si>
  <si>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</si>
  <si>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</si>
  <si>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</si>
  <si>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</si>
  <si>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</si>
  <si>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</si>
  <si>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</si>
  <si>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</si>
  <si>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</si>
  <si>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</si>
  <si>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</si>
  <si>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</si>
  <si>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</si>
  <si>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</si>
  <si>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</si>
  <si>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</si>
  <si>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</si>
  <si>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</si>
  <si>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</si>
  <si>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</si>
  <si>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</si>
  <si>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</si>
  <si>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</si>
  <si>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</si>
  <si>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</si>
  <si>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</si>
  <si>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</si>
  <si>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</si>
  <si>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</si>
  <si>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</si>
  <si>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</si>
  <si>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</si>
  <si>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</si>
  <si>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</si>
  <si>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</si>
  <si>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</si>
  <si>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</si>
  <si>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</si>
  <si>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</si>
  <si>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</si>
  <si>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</si>
  <si>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</si>
  <si>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</si>
  <si>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</si>
  <si>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</si>
  <si>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</si>
  <si>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</si>
  <si>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</si>
  <si>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</si>
  <si>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</si>
  <si>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</si>
  <si>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</si>
  <si>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</si>
  <si>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</si>
  <si>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</si>
  <si>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</si>
  <si>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</si>
  <si>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</si>
  <si>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</si>
  <si>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</si>
  <si>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</si>
  <si>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</si>
  <si>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</si>
  <si>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</si>
  <si>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</si>
  <si>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</si>
  <si>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</si>
  <si>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</si>
  <si>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</si>
  <si>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</si>
  <si>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</si>
  <si>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</si>
  <si>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</si>
  <si>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</si>
  <si>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</si>
  <si>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</si>
  <si>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</si>
  <si>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</si>
  <si>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</si>
  <si>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</si>
  <si>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</si>
  <si>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</si>
  <si>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</si>
  <si>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</si>
  <si>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</si>
  <si>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</si>
  <si>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</si>
  <si>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</si>
  <si>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</si>
  <si>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</si>
  <si>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</si>
  <si>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</si>
  <si>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</si>
  <si>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</si>
  <si>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</si>
  <si>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</si>
  <si>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</si>
  <si>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</si>
  <si>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</si>
  <si>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</si>
  <si>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</si>
  <si>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</si>
  <si>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</si>
  <si>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</si>
  <si>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</si>
  <si>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</si>
  <si>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</si>
  <si>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</si>
  <si>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</si>
  <si>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</si>
  <si>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</si>
  <si>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</si>
  <si>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</si>
  <si>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</si>
  <si>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</si>
  <si>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</si>
  <si>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</si>
  <si>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</si>
  <si>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</si>
  <si>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</si>
  <si>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</si>
  <si>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</si>
  <si>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</si>
  <si>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</si>
  <si>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</si>
  <si>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</si>
  <si>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</si>
  <si>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</si>
  <si>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</si>
  <si>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</si>
  <si>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</si>
  <si>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</si>
  <si>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</si>
  <si>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</si>
  <si>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</si>
  <si>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</si>
  <si>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</si>
  <si>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</si>
  <si>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</si>
  <si>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</si>
  <si>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</si>
  <si>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</si>
  <si>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</si>
  <si>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</si>
  <si>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</si>
  <si>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</si>
  <si>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</si>
  <si>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</si>
  <si>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</si>
  <si>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</si>
  <si>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</si>
  <si>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</si>
  <si>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</si>
  <si>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</si>
  <si>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</si>
  <si>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</si>
  <si>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</si>
  <si>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</si>
  <si>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</si>
  <si>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</si>
  <si>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</si>
  <si>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</si>
  <si>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</si>
  <si>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</si>
  <si>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</si>
  <si>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</si>
  <si>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</si>
  <si>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</si>
  <si>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</si>
  <si>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</si>
  <si>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</si>
  <si>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</si>
  <si>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</si>
  <si>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</si>
  <si>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</si>
  <si>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</si>
  <si>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</si>
  <si>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</si>
  <si>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</si>
  <si>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</si>
  <si>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</si>
  <si>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</si>
  <si>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</si>
  <si>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</si>
  <si>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</si>
  <si>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</si>
  <si>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</si>
  <si>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</si>
  <si>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</si>
  <si>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</si>
  <si>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</si>
  <si>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</si>
  <si>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</si>
  <si>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</si>
  <si>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</si>
  <si>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</si>
  <si>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</si>
  <si>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</si>
  <si>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</si>
  <si>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</si>
  <si>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</si>
  <si>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</si>
  <si>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</si>
  <si>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</si>
  <si>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</si>
  <si>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</si>
  <si>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</si>
  <si>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</si>
  <si>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</si>
  <si>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</si>
  <si>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</si>
  <si>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</si>
  <si>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</si>
  <si>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</si>
  <si>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</si>
  <si>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</si>
  <si>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</si>
  <si>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</si>
  <si>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</si>
  <si>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</si>
  <si>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</si>
  <si>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</si>
  <si>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</si>
  <si>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</si>
  <si>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</si>
  <si>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</si>
  <si>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</si>
  <si>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</si>
  <si>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</si>
  <si>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</si>
  <si>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</si>
  <si>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</si>
  <si>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</si>
  <si>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</si>
  <si>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</si>
  <si>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</si>
  <si>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</si>
  <si>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</si>
  <si>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</si>
  <si>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</si>
  <si>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</si>
  <si>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</si>
  <si>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</si>
  <si>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</si>
  <si>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</si>
  <si>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</si>
  <si>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</si>
  <si>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</si>
  <si>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</si>
  <si>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</si>
  <si>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</si>
  <si>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</si>
  <si>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</si>
  <si>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</si>
  <si>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</si>
  <si>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</si>
  <si>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</si>
  <si>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</si>
  <si>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</si>
  <si>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</si>
  <si>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</si>
  <si>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</si>
  <si>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</si>
  <si>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</si>
  <si>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</si>
  <si>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</si>
  <si>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</si>
  <si>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</si>
  <si>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</si>
  <si>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</si>
  <si>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</si>
  <si>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</si>
  <si>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</si>
  <si>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</si>
  <si>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</si>
  <si>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</si>
  <si>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</si>
  <si>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</si>
  <si>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</si>
  <si>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</si>
  <si>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</si>
  <si>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</si>
  <si>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</si>
  <si>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</si>
  <si>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</si>
  <si>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</si>
  <si>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</si>
  <si>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</si>
  <si>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</si>
  <si>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</si>
  <si>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</si>
  <si>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</si>
  <si>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</si>
  <si>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</si>
  <si>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</si>
  <si>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</si>
  <si>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</si>
  <si>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</si>
  <si>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</si>
  <si>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</si>
  <si>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</si>
  <si>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</si>
  <si>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</si>
  <si>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</si>
  <si>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</si>
  <si>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</si>
  <si>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</si>
  <si>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</si>
  <si>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</si>
  <si>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</si>
  <si>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</si>
  <si>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</si>
  <si>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</si>
  <si>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</si>
  <si>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</si>
  <si>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</si>
  <si>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</si>
  <si>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</si>
  <si>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</si>
  <si>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</si>
  <si>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</si>
  <si>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</si>
  <si>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</si>
  <si>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</si>
  <si>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</si>
  <si>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</si>
  <si>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</si>
  <si>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</si>
  <si>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</si>
  <si>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</si>
  <si>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</si>
  <si>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</si>
  <si>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</si>
  <si>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</si>
  <si>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</si>
  <si>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</si>
  <si>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</si>
  <si>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</si>
  <si>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</si>
  <si>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</si>
  <si>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</si>
  <si>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</si>
  <si>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</si>
  <si>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</si>
  <si>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</si>
  <si>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</si>
  <si>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</si>
  <si>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</si>
  <si>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</si>
  <si>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</si>
  <si>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</si>
  <si>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</si>
  <si>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</si>
  <si>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</si>
  <si>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</si>
  <si>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</si>
  <si>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</si>
  <si>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</si>
  <si>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</si>
  <si>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</si>
  <si>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</si>
  <si>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</si>
  <si>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</si>
  <si>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</si>
  <si>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</si>
  <si>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</si>
  <si>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</si>
  <si>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</si>
  <si>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</si>
  <si>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</si>
  <si>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</si>
  <si>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</si>
  <si>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</si>
  <si>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</si>
  <si>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</si>
  <si>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</si>
  <si>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</si>
  <si>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</si>
  <si>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</si>
  <si>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</si>
  <si>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</si>
  <si>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</si>
  <si>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</si>
  <si>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</si>
  <si>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</si>
  <si>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</si>
  <si>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</si>
  <si>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</si>
  <si>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</si>
  <si>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</si>
  <si>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</si>
  <si>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</si>
  <si>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</si>
  <si>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</si>
  <si>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</si>
  <si>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</si>
  <si>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</si>
  <si>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</si>
  <si>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</si>
  <si>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</si>
  <si>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</si>
  <si>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</si>
  <si>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</si>
  <si>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</si>
  <si>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</si>
  <si>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</si>
  <si>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</si>
  <si>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</si>
  <si>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</si>
  <si>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</si>
  <si>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</si>
  <si>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</si>
  <si>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</si>
  <si>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</si>
  <si>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</si>
  <si>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</si>
  <si>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</si>
  <si>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</si>
  <si>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</si>
  <si>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</si>
  <si>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</si>
  <si>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</si>
  <si>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</si>
  <si>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</si>
  <si>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</si>
  <si>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</si>
  <si>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</si>
  <si>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</si>
  <si>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</si>
  <si>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</si>
  <si>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</si>
  <si>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</si>
  <si>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</si>
  <si>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</si>
  <si>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</si>
  <si>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</si>
  <si>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</si>
  <si>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</si>
  <si>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</si>
  <si>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</si>
  <si>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</si>
  <si>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</si>
  <si>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</si>
  <si>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</si>
  <si>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</si>
  <si>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</si>
  <si>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</si>
  <si>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</si>
  <si>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</si>
  <si>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</si>
  <si>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</si>
  <si>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</si>
  <si>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</si>
  <si>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</si>
  <si>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</si>
  <si>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</si>
  <si>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</si>
  <si>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</si>
  <si>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</si>
  <si>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</si>
  <si>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</si>
  <si>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</si>
  <si>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</si>
  <si>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</si>
  <si>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</si>
  <si>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</si>
  <si>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</si>
  <si>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</si>
  <si>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</si>
  <si>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</si>
  <si>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</si>
  <si>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</si>
  <si>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</si>
  <si>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</si>
  <si>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</si>
  <si>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</si>
  <si>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</si>
  <si>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</si>
  <si>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</si>
  <si>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</si>
  <si>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</si>
  <si>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</si>
  <si>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</si>
  <si>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</si>
  <si>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</si>
  <si>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</si>
  <si>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</si>
  <si>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</si>
  <si>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</si>
  <si>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</si>
  <si>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</si>
  <si>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</si>
  <si>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</si>
  <si>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</si>
  <si>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</si>
  <si>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</si>
  <si>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</si>
  <si>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</si>
  <si>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</si>
  <si>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</si>
  <si>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</si>
  <si>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</si>
  <si>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</si>
  <si>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</si>
  <si>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</si>
  <si>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</si>
  <si>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</si>
  <si>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</si>
  <si>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</si>
  <si>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</si>
  <si>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</si>
  <si>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</si>
  <si>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</si>
  <si>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</si>
  <si>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</si>
  <si>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</si>
  <si>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</si>
  <si>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</si>
  <si>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</si>
  <si>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</si>
  <si>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</si>
  <si>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</si>
  <si>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</si>
  <si>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</si>
  <si>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</si>
  <si>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</si>
  <si>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</si>
  <si>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</si>
  <si>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</si>
  <si>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</si>
  <si>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</si>
  <si>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</si>
  <si>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</si>
  <si>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</si>
  <si>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</si>
  <si>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</si>
  <si>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</si>
  <si>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</si>
  <si>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</si>
  <si>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</si>
  <si>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</si>
  <si>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</si>
  <si>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</si>
  <si>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</si>
  <si>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</si>
  <si>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</si>
  <si>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</si>
  <si>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</si>
  <si>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</si>
  <si>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</si>
  <si>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</si>
  <si>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</si>
  <si>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</si>
  <si>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</si>
  <si>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</si>
  <si>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</si>
  <si>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</si>
  <si>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</si>
  <si>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</si>
  <si>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</si>
  <si>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</si>
  <si>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</si>
  <si>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</si>
  <si>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</si>
  <si>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</si>
  <si>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</si>
  <si>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</si>
  <si>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</si>
  <si>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</si>
  <si>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</si>
  <si>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</si>
  <si>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</si>
  <si>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</si>
  <si>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</si>
  <si>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</si>
  <si>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</si>
  <si>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</si>
  <si>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</si>
  <si>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</si>
  <si>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</si>
  <si>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</si>
  <si>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</si>
  <si>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</si>
  <si>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</si>
  <si>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</si>
  <si>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</si>
  <si>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</si>
  <si>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</si>
  <si>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</si>
  <si>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</si>
  <si>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</si>
  <si>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</si>
  <si>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</si>
  <si>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</si>
  <si>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</si>
  <si>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</si>
  <si>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44043</t>
  </si>
  <si>
    <t>MERELBEKE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</si>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</sst>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44043</v>
      </c>
      <c r="B6" s="397"/>
      <c r="C6" s="398"/>
    </row>
    <row r="7" spans="1:7" s="395" customFormat="1" ht="15.75" customHeight="1">
      <c r="A7" s="399" t="str">
        <f>txtMunicipality</f>
        <v>MERELBEKE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72386.037816271928</v>
      </c>
      <c r="D10" s="703">
        <f ca="1">tertiair!C16</f>
        <v>0</v>
      </c>
      <c r="E10" s="703">
        <f ca="1">tertiair!D16</f>
        <v>49796.991310676873</v>
      </c>
      <c r="F10" s="703">
        <f>tertiair!E16</f>
        <v>237.23911688569606</v>
      </c>
      <c r="G10" s="703">
        <f ca="1">tertiair!F16</f>
        <v>19295.593456174178</v>
      </c>
      <c r="H10" s="703">
        <f>tertiair!G16</f>
        <v>0</v>
      </c>
      <c r="I10" s="703">
        <f>tertiair!H16</f>
        <v>0</v>
      </c>
      <c r="J10" s="703">
        <f>tertiair!I16</f>
        <v>0</v>
      </c>
      <c r="K10" s="703">
        <f>tertiair!J16</f>
        <v>0</v>
      </c>
      <c r="L10" s="703">
        <f>tertiair!K16</f>
        <v>0</v>
      </c>
      <c r="M10" s="703">
        <f ca="1">tertiair!L16</f>
        <v>0</v>
      </c>
      <c r="N10" s="703">
        <f>tertiair!M16</f>
        <v>0</v>
      </c>
      <c r="O10" s="703">
        <f ca="1">tertiair!N16</f>
        <v>2348.5657114545243</v>
      </c>
      <c r="P10" s="703">
        <f>tertiair!O16</f>
        <v>0</v>
      </c>
      <c r="Q10" s="704">
        <f>tertiair!P16</f>
        <v>0</v>
      </c>
      <c r="R10" s="706">
        <f ca="1">SUM(C10:Q10)</f>
        <v>144064.4274114632</v>
      </c>
      <c r="S10" s="68"/>
    </row>
    <row r="11" spans="1:19" s="458" customFormat="1">
      <c r="A11" s="859" t="s">
        <v>225</v>
      </c>
      <c r="B11" s="864"/>
      <c r="C11" s="703">
        <f>huishoudens!B8</f>
        <v>48469.350457806067</v>
      </c>
      <c r="D11" s="703">
        <f>huishoudens!C8</f>
        <v>0</v>
      </c>
      <c r="E11" s="703">
        <f>huishoudens!D8</f>
        <v>100579.1694004684</v>
      </c>
      <c r="F11" s="703">
        <f>huishoudens!E8</f>
        <v>3278.489173572485</v>
      </c>
      <c r="G11" s="703">
        <f>huishoudens!F8</f>
        <v>20203.771570443554</v>
      </c>
      <c r="H11" s="703">
        <f>huishoudens!G8</f>
        <v>0</v>
      </c>
      <c r="I11" s="703">
        <f>huishoudens!H8</f>
        <v>0</v>
      </c>
      <c r="J11" s="703">
        <f>huishoudens!I8</f>
        <v>0</v>
      </c>
      <c r="K11" s="703">
        <f>huishoudens!J8</f>
        <v>0</v>
      </c>
      <c r="L11" s="703">
        <f>huishoudens!K8</f>
        <v>0</v>
      </c>
      <c r="M11" s="703">
        <f>huishoudens!L8</f>
        <v>0</v>
      </c>
      <c r="N11" s="703">
        <f>huishoudens!M8</f>
        <v>0</v>
      </c>
      <c r="O11" s="703">
        <f>huishoudens!N8</f>
        <v>12492.518380816391</v>
      </c>
      <c r="P11" s="703">
        <f>huishoudens!O8</f>
        <v>215.74</v>
      </c>
      <c r="Q11" s="704">
        <f>huishoudens!P8</f>
        <v>362.26666666666665</v>
      </c>
      <c r="R11" s="706">
        <f>SUM(C11:Q11)</f>
        <v>185601.30564977354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29432.213527841584</v>
      </c>
      <c r="D13" s="703">
        <f>industrie!C18</f>
        <v>0</v>
      </c>
      <c r="E13" s="703">
        <f>industrie!D18</f>
        <v>13352.817844320103</v>
      </c>
      <c r="F13" s="703">
        <f>industrie!E18</f>
        <v>268.57497615434391</v>
      </c>
      <c r="G13" s="703">
        <f>industrie!F18</f>
        <v>6894.381298841271</v>
      </c>
      <c r="H13" s="703">
        <f>industrie!G18</f>
        <v>0</v>
      </c>
      <c r="I13" s="703">
        <f>industrie!H18</f>
        <v>0</v>
      </c>
      <c r="J13" s="703">
        <f>industrie!I18</f>
        <v>0</v>
      </c>
      <c r="K13" s="703">
        <f>industrie!J18</f>
        <v>143.22406911657015</v>
      </c>
      <c r="L13" s="703">
        <f>industrie!K18</f>
        <v>0</v>
      </c>
      <c r="M13" s="703">
        <f>industrie!L18</f>
        <v>0</v>
      </c>
      <c r="N13" s="703">
        <f>industrie!M18</f>
        <v>0</v>
      </c>
      <c r="O13" s="703">
        <f>industrie!N18</f>
        <v>1095.3314962892323</v>
      </c>
      <c r="P13" s="703">
        <f>industrie!O18</f>
        <v>0</v>
      </c>
      <c r="Q13" s="704">
        <f>industrie!P18</f>
        <v>0</v>
      </c>
      <c r="R13" s="706">
        <f>SUM(C13:Q13)</f>
        <v>51186.543212563098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150287.60180191958</v>
      </c>
      <c r="D15" s="708">
        <f t="shared" ref="D15:Q15" ca="1" si="0">SUM(D9:D14)</f>
        <v>0</v>
      </c>
      <c r="E15" s="708">
        <f t="shared" ca="1" si="0"/>
        <v>163728.97855546535</v>
      </c>
      <c r="F15" s="708">
        <f t="shared" si="0"/>
        <v>3784.303266612525</v>
      </c>
      <c r="G15" s="708">
        <f t="shared" ca="1" si="0"/>
        <v>46393.746325458997</v>
      </c>
      <c r="H15" s="708">
        <f t="shared" si="0"/>
        <v>0</v>
      </c>
      <c r="I15" s="708">
        <f t="shared" si="0"/>
        <v>0</v>
      </c>
      <c r="J15" s="708">
        <f t="shared" si="0"/>
        <v>0</v>
      </c>
      <c r="K15" s="708">
        <f t="shared" si="0"/>
        <v>143.22406911657015</v>
      </c>
      <c r="L15" s="708">
        <f t="shared" si="0"/>
        <v>0</v>
      </c>
      <c r="M15" s="708">
        <f t="shared" ca="1" si="0"/>
        <v>0</v>
      </c>
      <c r="N15" s="708">
        <f t="shared" si="0"/>
        <v>0</v>
      </c>
      <c r="O15" s="708">
        <f t="shared" ca="1" si="0"/>
        <v>15936.415588560149</v>
      </c>
      <c r="P15" s="708">
        <f t="shared" si="0"/>
        <v>215.74</v>
      </c>
      <c r="Q15" s="709">
        <f t="shared" si="0"/>
        <v>362.26666666666665</v>
      </c>
      <c r="R15" s="710">
        <f ca="1">SUM(R9:R14)</f>
        <v>380852.27627379983</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3358.1442325896337</v>
      </c>
      <c r="I18" s="703">
        <f>transport!H54</f>
        <v>0</v>
      </c>
      <c r="J18" s="703">
        <f>transport!I54</f>
        <v>0</v>
      </c>
      <c r="K18" s="703">
        <f>transport!J54</f>
        <v>0</v>
      </c>
      <c r="L18" s="703">
        <f>transport!K54</f>
        <v>0</v>
      </c>
      <c r="M18" s="703">
        <f>transport!L54</f>
        <v>0</v>
      </c>
      <c r="N18" s="703">
        <f>transport!M54</f>
        <v>147.46165285843082</v>
      </c>
      <c r="O18" s="703">
        <f>transport!N54</f>
        <v>0</v>
      </c>
      <c r="P18" s="703">
        <f>transport!O54</f>
        <v>0</v>
      </c>
      <c r="Q18" s="704">
        <f>transport!P54</f>
        <v>0</v>
      </c>
      <c r="R18" s="706">
        <f>SUM(C18:Q18)</f>
        <v>3505.6058854480643</v>
      </c>
      <c r="S18" s="68"/>
    </row>
    <row r="19" spans="1:19" s="458" customFormat="1" ht="15" thickBot="1">
      <c r="A19" s="859" t="s">
        <v>307</v>
      </c>
      <c r="B19" s="864"/>
      <c r="C19" s="712">
        <f>transport!B14</f>
        <v>5.2122397164463452</v>
      </c>
      <c r="D19" s="712">
        <f>transport!C14</f>
        <v>0</v>
      </c>
      <c r="E19" s="712">
        <f>transport!D14</f>
        <v>15.339073361675419</v>
      </c>
      <c r="F19" s="712">
        <f>transport!E14</f>
        <v>971.06932095360003</v>
      </c>
      <c r="G19" s="712">
        <f>transport!F14</f>
        <v>0</v>
      </c>
      <c r="H19" s="712">
        <f>transport!G14</f>
        <v>189389.1390593313</v>
      </c>
      <c r="I19" s="712">
        <f>transport!H14</f>
        <v>34703.951086291403</v>
      </c>
      <c r="J19" s="712">
        <f>transport!I14</f>
        <v>0</v>
      </c>
      <c r="K19" s="712">
        <f>transport!J14</f>
        <v>0</v>
      </c>
      <c r="L19" s="712">
        <f>transport!K14</f>
        <v>0</v>
      </c>
      <c r="M19" s="712">
        <f>transport!L14</f>
        <v>0</v>
      </c>
      <c r="N19" s="712">
        <f>transport!M14</f>
        <v>10021.024996963281</v>
      </c>
      <c r="O19" s="712">
        <f>transport!N14</f>
        <v>0</v>
      </c>
      <c r="P19" s="712">
        <f>transport!O14</f>
        <v>0</v>
      </c>
      <c r="Q19" s="713">
        <f>transport!P14</f>
        <v>0</v>
      </c>
      <c r="R19" s="714">
        <f>SUM(C19:Q19)</f>
        <v>235105.73577661769</v>
      </c>
      <c r="S19" s="68"/>
    </row>
    <row r="20" spans="1:19" s="458" customFormat="1" ht="15.75" thickBot="1">
      <c r="A20" s="715" t="s">
        <v>230</v>
      </c>
      <c r="B20" s="867"/>
      <c r="C20" s="862">
        <f>SUM(C17:C19)</f>
        <v>5.2122397164463452</v>
      </c>
      <c r="D20" s="716">
        <f t="shared" ref="D20:R20" si="1">SUM(D17:D19)</f>
        <v>0</v>
      </c>
      <c r="E20" s="716">
        <f t="shared" si="1"/>
        <v>15.339073361675419</v>
      </c>
      <c r="F20" s="716">
        <f t="shared" si="1"/>
        <v>971.06932095360003</v>
      </c>
      <c r="G20" s="716">
        <f t="shared" si="1"/>
        <v>0</v>
      </c>
      <c r="H20" s="716">
        <f t="shared" si="1"/>
        <v>192747.28329192093</v>
      </c>
      <c r="I20" s="716">
        <f t="shared" si="1"/>
        <v>34703.951086291403</v>
      </c>
      <c r="J20" s="716">
        <f t="shared" si="1"/>
        <v>0</v>
      </c>
      <c r="K20" s="716">
        <f t="shared" si="1"/>
        <v>0</v>
      </c>
      <c r="L20" s="716">
        <f t="shared" si="1"/>
        <v>0</v>
      </c>
      <c r="M20" s="716">
        <f t="shared" si="1"/>
        <v>0</v>
      </c>
      <c r="N20" s="716">
        <f t="shared" si="1"/>
        <v>10168.486649821711</v>
      </c>
      <c r="O20" s="716">
        <f t="shared" si="1"/>
        <v>0</v>
      </c>
      <c r="P20" s="716">
        <f t="shared" si="1"/>
        <v>0</v>
      </c>
      <c r="Q20" s="717">
        <f t="shared" si="1"/>
        <v>0</v>
      </c>
      <c r="R20" s="718">
        <f t="shared" si="1"/>
        <v>238611.34166206574</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2470.5409279138603</v>
      </c>
      <c r="D22" s="712">
        <f>+landbouw!C8</f>
        <v>0</v>
      </c>
      <c r="E22" s="712">
        <f>+landbouw!D8</f>
        <v>14672.223963090639</v>
      </c>
      <c r="F22" s="712">
        <f>+landbouw!E8</f>
        <v>23.274150857669785</v>
      </c>
      <c r="G22" s="712">
        <f>+landbouw!F8</f>
        <v>8062.1949483105618</v>
      </c>
      <c r="H22" s="712">
        <f>+landbouw!G8</f>
        <v>0</v>
      </c>
      <c r="I22" s="712">
        <f>+landbouw!H8</f>
        <v>0</v>
      </c>
      <c r="J22" s="712">
        <f>+landbouw!I8</f>
        <v>0</v>
      </c>
      <c r="K22" s="712">
        <f>+landbouw!J8</f>
        <v>305.61792949170962</v>
      </c>
      <c r="L22" s="712">
        <f>+landbouw!K8</f>
        <v>0</v>
      </c>
      <c r="M22" s="712">
        <f>+landbouw!L8</f>
        <v>0</v>
      </c>
      <c r="N22" s="712">
        <f>+landbouw!M8</f>
        <v>0</v>
      </c>
      <c r="O22" s="712">
        <f>+landbouw!N8</f>
        <v>0</v>
      </c>
      <c r="P22" s="712">
        <f>+landbouw!O8</f>
        <v>0</v>
      </c>
      <c r="Q22" s="713">
        <f>+landbouw!P8</f>
        <v>0</v>
      </c>
      <c r="R22" s="714">
        <f>SUM(C22:Q22)</f>
        <v>25533.851919664441</v>
      </c>
      <c r="S22" s="68"/>
    </row>
    <row r="23" spans="1:19" s="458" customFormat="1" ht="17.25" thickTop="1" thickBot="1">
      <c r="A23" s="719" t="s">
        <v>116</v>
      </c>
      <c r="B23" s="853"/>
      <c r="C23" s="720">
        <f ca="1">C20+C15+C22</f>
        <v>152763.35496954987</v>
      </c>
      <c r="D23" s="720">
        <f t="shared" ref="D23:Q23" ca="1" si="2">D20+D15+D22</f>
        <v>0</v>
      </c>
      <c r="E23" s="720">
        <f t="shared" ca="1" si="2"/>
        <v>178416.54159191766</v>
      </c>
      <c r="F23" s="720">
        <f t="shared" si="2"/>
        <v>4778.6467384237949</v>
      </c>
      <c r="G23" s="720">
        <f t="shared" ca="1" si="2"/>
        <v>54455.94127376956</v>
      </c>
      <c r="H23" s="720">
        <f t="shared" si="2"/>
        <v>192747.28329192093</v>
      </c>
      <c r="I23" s="720">
        <f t="shared" si="2"/>
        <v>34703.951086291403</v>
      </c>
      <c r="J23" s="720">
        <f t="shared" si="2"/>
        <v>0</v>
      </c>
      <c r="K23" s="720">
        <f t="shared" si="2"/>
        <v>448.84199860827977</v>
      </c>
      <c r="L23" s="720">
        <f t="shared" si="2"/>
        <v>0</v>
      </c>
      <c r="M23" s="720">
        <f t="shared" ca="1" si="2"/>
        <v>0</v>
      </c>
      <c r="N23" s="720">
        <f t="shared" si="2"/>
        <v>10168.486649821711</v>
      </c>
      <c r="O23" s="720">
        <f t="shared" ca="1" si="2"/>
        <v>15936.415588560149</v>
      </c>
      <c r="P23" s="720">
        <f t="shared" si="2"/>
        <v>215.74</v>
      </c>
      <c r="Q23" s="721">
        <f t="shared" si="2"/>
        <v>362.26666666666665</v>
      </c>
      <c r="R23" s="722">
        <f ca="1">R20+R15+R22</f>
        <v>644997.46985552995</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15592.017365602254</v>
      </c>
      <c r="D36" s="703">
        <f ca="1">tertiair!C20</f>
        <v>0</v>
      </c>
      <c r="E36" s="703">
        <f ca="1">tertiair!D20</f>
        <v>10058.99224475673</v>
      </c>
      <c r="F36" s="703">
        <f>tertiair!E20</f>
        <v>53.853279533053005</v>
      </c>
      <c r="G36" s="703">
        <f ca="1">tertiair!F20</f>
        <v>5151.9234527985054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30856.786342690542</v>
      </c>
    </row>
    <row r="37" spans="1:18">
      <c r="A37" s="874" t="s">
        <v>225</v>
      </c>
      <c r="B37" s="881"/>
      <c r="C37" s="703">
        <f ca="1">huishoudens!B12</f>
        <v>10440.341491763336</v>
      </c>
      <c r="D37" s="703">
        <f ca="1">huishoudens!C12</f>
        <v>0</v>
      </c>
      <c r="E37" s="703">
        <f>huishoudens!D12</f>
        <v>20316.992218894618</v>
      </c>
      <c r="F37" s="703">
        <f>huishoudens!E12</f>
        <v>744.21704240095414</v>
      </c>
      <c r="G37" s="703">
        <f>huishoudens!F12</f>
        <v>5394.4070093084292</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36895.957762367339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6339.725149745107</v>
      </c>
      <c r="D39" s="703">
        <f ca="1">industrie!C22</f>
        <v>0</v>
      </c>
      <c r="E39" s="703">
        <f>industrie!D22</f>
        <v>2697.269204552661</v>
      </c>
      <c r="F39" s="703">
        <f>industrie!E22</f>
        <v>60.966519587036068</v>
      </c>
      <c r="G39" s="703">
        <f>industrie!F22</f>
        <v>1840.7998067906194</v>
      </c>
      <c r="H39" s="703">
        <f>industrie!G22</f>
        <v>0</v>
      </c>
      <c r="I39" s="703">
        <f>industrie!H22</f>
        <v>0</v>
      </c>
      <c r="J39" s="703">
        <f>industrie!I22</f>
        <v>0</v>
      </c>
      <c r="K39" s="703">
        <f>industrie!J22</f>
        <v>50.70132046726583</v>
      </c>
      <c r="L39" s="703">
        <f>industrie!K22</f>
        <v>0</v>
      </c>
      <c r="M39" s="703">
        <f>industrie!L22</f>
        <v>0</v>
      </c>
      <c r="N39" s="703">
        <f>industrie!M22</f>
        <v>0</v>
      </c>
      <c r="O39" s="703">
        <f>industrie!N22</f>
        <v>0</v>
      </c>
      <c r="P39" s="703">
        <f>industrie!O22</f>
        <v>0</v>
      </c>
      <c r="Q39" s="813">
        <f>industrie!P22</f>
        <v>0</v>
      </c>
      <c r="R39" s="907">
        <f ca="1">SUM(C39:Q39)</f>
        <v>10989.462001142689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32372.084007110698</v>
      </c>
      <c r="D41" s="748">
        <f t="shared" ref="D41:R41" ca="1" si="4">SUM(D35:D40)</f>
        <v>0</v>
      </c>
      <c r="E41" s="748">
        <f t="shared" ca="1" si="4"/>
        <v>33073.253668204008</v>
      </c>
      <c r="F41" s="748">
        <f t="shared" si="4"/>
        <v>859.03684152104313</v>
      </c>
      <c r="G41" s="748">
        <f t="shared" ca="1" si="4"/>
        <v>12387.130268897554</v>
      </c>
      <c r="H41" s="748">
        <f t="shared" si="4"/>
        <v>0</v>
      </c>
      <c r="I41" s="748">
        <f t="shared" si="4"/>
        <v>0</v>
      </c>
      <c r="J41" s="748">
        <f t="shared" si="4"/>
        <v>0</v>
      </c>
      <c r="K41" s="748">
        <f t="shared" si="4"/>
        <v>50.70132046726583</v>
      </c>
      <c r="L41" s="748">
        <f t="shared" si="4"/>
        <v>0</v>
      </c>
      <c r="M41" s="748">
        <f t="shared" ca="1" si="4"/>
        <v>0</v>
      </c>
      <c r="N41" s="748">
        <f t="shared" si="4"/>
        <v>0</v>
      </c>
      <c r="O41" s="748">
        <f t="shared" ca="1" si="4"/>
        <v>0</v>
      </c>
      <c r="P41" s="748">
        <f t="shared" si="4"/>
        <v>0</v>
      </c>
      <c r="Q41" s="749">
        <f t="shared" si="4"/>
        <v>0</v>
      </c>
      <c r="R41" s="750">
        <f t="shared" ca="1" si="4"/>
        <v>78742.206106200567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896.62451010143229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896.62451010143229</v>
      </c>
    </row>
    <row r="45" spans="1:18" ht="15" thickBot="1">
      <c r="A45" s="877" t="s">
        <v>307</v>
      </c>
      <c r="B45" s="887"/>
      <c r="C45" s="712">
        <f ca="1">transport!B18</f>
        <v>1.1227211023593882</v>
      </c>
      <c r="D45" s="712">
        <f>transport!C18</f>
        <v>0</v>
      </c>
      <c r="E45" s="712">
        <f>transport!D18</f>
        <v>3.0984928190584351</v>
      </c>
      <c r="F45" s="712">
        <f>transport!E18</f>
        <v>220.43273585646722</v>
      </c>
      <c r="G45" s="712">
        <f>transport!F18</f>
        <v>0</v>
      </c>
      <c r="H45" s="712">
        <f>transport!G18</f>
        <v>50566.900128841458</v>
      </c>
      <c r="I45" s="712">
        <f>transport!H18</f>
        <v>8641.2838204865602</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59432.837899105907</v>
      </c>
    </row>
    <row r="46" spans="1:18" ht="15.75" thickBot="1">
      <c r="A46" s="875" t="s">
        <v>230</v>
      </c>
      <c r="B46" s="888"/>
      <c r="C46" s="748">
        <f t="shared" ref="C46:R46" ca="1" si="5">SUM(C43:C45)</f>
        <v>1.1227211023593882</v>
      </c>
      <c r="D46" s="748">
        <f t="shared" ca="1" si="5"/>
        <v>0</v>
      </c>
      <c r="E46" s="748">
        <f t="shared" si="5"/>
        <v>3.0984928190584351</v>
      </c>
      <c r="F46" s="748">
        <f t="shared" si="5"/>
        <v>220.43273585646722</v>
      </c>
      <c r="G46" s="748">
        <f t="shared" si="5"/>
        <v>0</v>
      </c>
      <c r="H46" s="748">
        <f t="shared" si="5"/>
        <v>51463.524638942894</v>
      </c>
      <c r="I46" s="748">
        <f t="shared" si="5"/>
        <v>8641.2838204865602</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60329.462409207343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532.1567281833569</v>
      </c>
      <c r="D48" s="703">
        <f ca="1">+landbouw!C12</f>
        <v>0</v>
      </c>
      <c r="E48" s="703">
        <f>+landbouw!D12</f>
        <v>2963.7892405443095</v>
      </c>
      <c r="F48" s="703">
        <f>+landbouw!E12</f>
        <v>5.2832322446910416</v>
      </c>
      <c r="G48" s="703">
        <f>+landbouw!F12</f>
        <v>2152.6060511989203</v>
      </c>
      <c r="H48" s="703">
        <f>+landbouw!G12</f>
        <v>0</v>
      </c>
      <c r="I48" s="703">
        <f>+landbouw!H12</f>
        <v>0</v>
      </c>
      <c r="J48" s="703">
        <f>+landbouw!I12</f>
        <v>0</v>
      </c>
      <c r="K48" s="703">
        <f>+landbouw!J12</f>
        <v>108.18874704006519</v>
      </c>
      <c r="L48" s="703">
        <f>+landbouw!K12</f>
        <v>0</v>
      </c>
      <c r="M48" s="703">
        <f>+landbouw!L12</f>
        <v>0</v>
      </c>
      <c r="N48" s="703">
        <f>+landbouw!M12</f>
        <v>0</v>
      </c>
      <c r="O48" s="703">
        <f>+landbouw!N12</f>
        <v>0</v>
      </c>
      <c r="P48" s="703">
        <f>+landbouw!O12</f>
        <v>0</v>
      </c>
      <c r="Q48" s="704">
        <f>+landbouw!P12</f>
        <v>0</v>
      </c>
      <c r="R48" s="746">
        <f ca="1">SUM(C48:Q48)</f>
        <v>5762.0239992113429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32905.363456396415</v>
      </c>
      <c r="D53" s="758">
        <f t="shared" ref="D53:Q53" ca="1" si="6">D41+D46+D48</f>
        <v>0</v>
      </c>
      <c r="E53" s="758">
        <f t="shared" ca="1" si="6"/>
        <v>36040.14140156738</v>
      </c>
      <c r="F53" s="758">
        <f t="shared" si="6"/>
        <v>1084.7528096222015</v>
      </c>
      <c r="G53" s="758">
        <f t="shared" ca="1" si="6"/>
        <v>14539.736320096474</v>
      </c>
      <c r="H53" s="758">
        <f t="shared" si="6"/>
        <v>51463.524638942894</v>
      </c>
      <c r="I53" s="758">
        <f t="shared" si="6"/>
        <v>8641.2838204865602</v>
      </c>
      <c r="J53" s="758">
        <f t="shared" si="6"/>
        <v>0</v>
      </c>
      <c r="K53" s="758">
        <f t="shared" si="6"/>
        <v>158.89006750733103</v>
      </c>
      <c r="L53" s="758">
        <f t="shared" si="6"/>
        <v>0</v>
      </c>
      <c r="M53" s="758">
        <f t="shared" ca="1" si="6"/>
        <v>0</v>
      </c>
      <c r="N53" s="758">
        <f t="shared" si="6"/>
        <v>0</v>
      </c>
      <c r="O53" s="758">
        <f t="shared" ca="1" si="6"/>
        <v>0</v>
      </c>
      <c r="P53" s="758">
        <f>P41+P46+P48</f>
        <v>0</v>
      </c>
      <c r="Q53" s="759">
        <f t="shared" si="6"/>
        <v>0</v>
      </c>
      <c r="R53" s="760">
        <f ca="1">R41+R46+R48</f>
        <v>144833.69251461927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0.2154008954762443</v>
      </c>
      <c r="D55" s="824">
        <f t="shared" ca="1" si="7"/>
        <v>0</v>
      </c>
      <c r="E55" s="824">
        <f t="shared" ca="1" si="7"/>
        <v>0.20200000000000007</v>
      </c>
      <c r="F55" s="824">
        <f t="shared" si="7"/>
        <v>0.22700000000000001</v>
      </c>
      <c r="G55" s="824">
        <f t="shared" ca="1" si="7"/>
        <v>0.26700000000000002</v>
      </c>
      <c r="H55" s="824">
        <f t="shared" si="7"/>
        <v>0.26700000000000002</v>
      </c>
      <c r="I55" s="824">
        <f t="shared" si="7"/>
        <v>0.24900000000000003</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3870.3076555389521</v>
      </c>
      <c r="C66" s="780">
        <f>'lokale energieproductie'!B6</f>
        <v>3870.3076555389521</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3870.3076555389521</v>
      </c>
      <c r="C69" s="788">
        <f>SUM(C64:C68)</f>
        <v>3870.3076555389521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48469.350457806067</v>
      </c>
      <c r="C4" s="462">
        <f>huishoudens!C8</f>
        <v>0</v>
      </c>
      <c r="D4" s="462">
        <f>huishoudens!D8</f>
        <v>100579.1694004684</v>
      </c>
      <c r="E4" s="462">
        <f>huishoudens!E8</f>
        <v>3278.489173572485</v>
      </c>
      <c r="F4" s="462">
        <f>huishoudens!F8</f>
        <v>20203.771570443554</v>
      </c>
      <c r="G4" s="462">
        <f>huishoudens!G8</f>
        <v>0</v>
      </c>
      <c r="H4" s="462">
        <f>huishoudens!H8</f>
        <v>0</v>
      </c>
      <c r="I4" s="462">
        <f>huishoudens!I8</f>
        <v>0</v>
      </c>
      <c r="J4" s="462">
        <f>huishoudens!J8</f>
        <v>0</v>
      </c>
      <c r="K4" s="462">
        <f>huishoudens!K8</f>
        <v>0</v>
      </c>
      <c r="L4" s="462">
        <f>huishoudens!L8</f>
        <v>0</v>
      </c>
      <c r="M4" s="462">
        <f>huishoudens!M8</f>
        <v>0</v>
      </c>
      <c r="N4" s="462">
        <f>huishoudens!N8</f>
        <v>12492.518380816391</v>
      </c>
      <c r="O4" s="462">
        <f>huishoudens!O8</f>
        <v>215.74</v>
      </c>
      <c r="P4" s="463">
        <f>huishoudens!P8</f>
        <v>362.26666666666665</v>
      </c>
      <c r="Q4" s="464">
        <f>SUM(B4:P4)</f>
        <v>185601.30564977354</v>
      </c>
    </row>
    <row r="5" spans="1:17">
      <c r="A5" s="461" t="s">
        <v>156</v>
      </c>
      <c r="B5" s="462">
        <f ca="1">tertiair!B16</f>
        <v>70519.054816271935</v>
      </c>
      <c r="C5" s="462">
        <f ca="1">tertiair!C16</f>
        <v>0</v>
      </c>
      <c r="D5" s="462">
        <f ca="1">tertiair!D16</f>
        <v>49796.991310676873</v>
      </c>
      <c r="E5" s="462">
        <f>tertiair!E16</f>
        <v>237.23911688569606</v>
      </c>
      <c r="F5" s="462">
        <f ca="1">tertiair!F16</f>
        <v>19295.593456174178</v>
      </c>
      <c r="G5" s="462">
        <f>tertiair!G16</f>
        <v>0</v>
      </c>
      <c r="H5" s="462">
        <f>tertiair!H16</f>
        <v>0</v>
      </c>
      <c r="I5" s="462">
        <f>tertiair!I16</f>
        <v>0</v>
      </c>
      <c r="J5" s="462">
        <f>tertiair!J16</f>
        <v>0</v>
      </c>
      <c r="K5" s="462">
        <f>tertiair!K16</f>
        <v>0</v>
      </c>
      <c r="L5" s="462">
        <f ca="1">tertiair!L16</f>
        <v>0</v>
      </c>
      <c r="M5" s="462">
        <f>tertiair!M16</f>
        <v>0</v>
      </c>
      <c r="N5" s="462">
        <f ca="1">tertiair!N16</f>
        <v>2348.5657114545243</v>
      </c>
      <c r="O5" s="462">
        <f>tertiair!O16</f>
        <v>0</v>
      </c>
      <c r="P5" s="463">
        <f>tertiair!P16</f>
        <v>0</v>
      </c>
      <c r="Q5" s="461">
        <f t="shared" ref="Q5:Q13" ca="1" si="0">SUM(B5:P5)</f>
        <v>142197.44441146322</v>
      </c>
    </row>
    <row r="6" spans="1:17">
      <c r="A6" s="461" t="s">
        <v>194</v>
      </c>
      <c r="B6" s="462">
        <f>'openbare verlichting'!B8</f>
        <v>1866.9829999999999</v>
      </c>
      <c r="C6" s="462"/>
      <c r="D6" s="462"/>
      <c r="E6" s="462"/>
      <c r="F6" s="462"/>
      <c r="G6" s="462"/>
      <c r="H6" s="462"/>
      <c r="I6" s="462"/>
      <c r="J6" s="462"/>
      <c r="K6" s="462"/>
      <c r="L6" s="462"/>
      <c r="M6" s="462"/>
      <c r="N6" s="462"/>
      <c r="O6" s="462"/>
      <c r="P6" s="463"/>
      <c r="Q6" s="461">
        <f t="shared" si="0"/>
        <v>1866.9829999999999</v>
      </c>
    </row>
    <row r="7" spans="1:17">
      <c r="A7" s="461" t="s">
        <v>112</v>
      </c>
      <c r="B7" s="462">
        <f>landbouw!B8</f>
        <v>2470.5409279138603</v>
      </c>
      <c r="C7" s="462">
        <f>landbouw!C8</f>
        <v>0</v>
      </c>
      <c r="D7" s="462">
        <f>landbouw!D8</f>
        <v>14672.223963090639</v>
      </c>
      <c r="E7" s="462">
        <f>landbouw!E8</f>
        <v>23.274150857669785</v>
      </c>
      <c r="F7" s="462">
        <f>landbouw!F8</f>
        <v>8062.1949483105618</v>
      </c>
      <c r="G7" s="462">
        <f>landbouw!G8</f>
        <v>0</v>
      </c>
      <c r="H7" s="462">
        <f>landbouw!H8</f>
        <v>0</v>
      </c>
      <c r="I7" s="462">
        <f>landbouw!I8</f>
        <v>0</v>
      </c>
      <c r="J7" s="462">
        <f>landbouw!J8</f>
        <v>305.61792949170962</v>
      </c>
      <c r="K7" s="462">
        <f>landbouw!K8</f>
        <v>0</v>
      </c>
      <c r="L7" s="462">
        <f>landbouw!L8</f>
        <v>0</v>
      </c>
      <c r="M7" s="462">
        <f>landbouw!M8</f>
        <v>0</v>
      </c>
      <c r="N7" s="462">
        <f>landbouw!N8</f>
        <v>0</v>
      </c>
      <c r="O7" s="462">
        <f>landbouw!O8</f>
        <v>0</v>
      </c>
      <c r="P7" s="463">
        <f>landbouw!P8</f>
        <v>0</v>
      </c>
      <c r="Q7" s="461">
        <f t="shared" si="0"/>
        <v>25533.851919664441</v>
      </c>
    </row>
    <row r="8" spans="1:17">
      <c r="A8" s="461" t="s">
        <v>685</v>
      </c>
      <c r="B8" s="462">
        <f>industrie!B18</f>
        <v>29432.213527841584</v>
      </c>
      <c r="C8" s="462">
        <f>industrie!C18</f>
        <v>0</v>
      </c>
      <c r="D8" s="462">
        <f>industrie!D18</f>
        <v>13352.817844320103</v>
      </c>
      <c r="E8" s="462">
        <f>industrie!E18</f>
        <v>268.57497615434391</v>
      </c>
      <c r="F8" s="462">
        <f>industrie!F18</f>
        <v>6894.381298841271</v>
      </c>
      <c r="G8" s="462">
        <f>industrie!G18</f>
        <v>0</v>
      </c>
      <c r="H8" s="462">
        <f>industrie!H18</f>
        <v>0</v>
      </c>
      <c r="I8" s="462">
        <f>industrie!I18</f>
        <v>0</v>
      </c>
      <c r="J8" s="462">
        <f>industrie!J18</f>
        <v>143.22406911657015</v>
      </c>
      <c r="K8" s="462">
        <f>industrie!K18</f>
        <v>0</v>
      </c>
      <c r="L8" s="462">
        <f>industrie!L18</f>
        <v>0</v>
      </c>
      <c r="M8" s="462">
        <f>industrie!M18</f>
        <v>0</v>
      </c>
      <c r="N8" s="462">
        <f>industrie!N18</f>
        <v>1095.3314962892323</v>
      </c>
      <c r="O8" s="462">
        <f>industrie!O18</f>
        <v>0</v>
      </c>
      <c r="P8" s="463">
        <f>industrie!P18</f>
        <v>0</v>
      </c>
      <c r="Q8" s="461">
        <f t="shared" si="0"/>
        <v>51186.543212563098</v>
      </c>
    </row>
    <row r="9" spans="1:17" s="467" customFormat="1">
      <c r="A9" s="465" t="s">
        <v>579</v>
      </c>
      <c r="B9" s="466">
        <f>transport!B14</f>
        <v>5.2122397164463452</v>
      </c>
      <c r="C9" s="466"/>
      <c r="D9" s="466">
        <f>transport!D14</f>
        <v>15.339073361675419</v>
      </c>
      <c r="E9" s="466">
        <f>transport!E14</f>
        <v>971.06932095360003</v>
      </c>
      <c r="F9" s="466"/>
      <c r="G9" s="466">
        <f>transport!G14</f>
        <v>189389.1390593313</v>
      </c>
      <c r="H9" s="466">
        <f>transport!H14</f>
        <v>34703.951086291403</v>
      </c>
      <c r="I9" s="466"/>
      <c r="J9" s="466"/>
      <c r="K9" s="466"/>
      <c r="L9" s="466"/>
      <c r="M9" s="466">
        <f>transport!M14</f>
        <v>10021.024996963281</v>
      </c>
      <c r="N9" s="466"/>
      <c r="O9" s="466"/>
      <c r="P9" s="466"/>
      <c r="Q9" s="465">
        <f>SUM(B9:P9)</f>
        <v>235105.73577661769</v>
      </c>
    </row>
    <row r="10" spans="1:17">
      <c r="A10" s="461" t="s">
        <v>569</v>
      </c>
      <c r="B10" s="462">
        <f>transport!B54</f>
        <v>0</v>
      </c>
      <c r="C10" s="462"/>
      <c r="D10" s="462">
        <f>transport!D54</f>
        <v>0</v>
      </c>
      <c r="E10" s="462"/>
      <c r="F10" s="462"/>
      <c r="G10" s="462">
        <f>transport!G54</f>
        <v>3358.1442325896337</v>
      </c>
      <c r="H10" s="462"/>
      <c r="I10" s="462"/>
      <c r="J10" s="462"/>
      <c r="K10" s="462"/>
      <c r="L10" s="462"/>
      <c r="M10" s="462">
        <f>transport!M54</f>
        <v>147.46165285843082</v>
      </c>
      <c r="N10" s="462"/>
      <c r="O10" s="462"/>
      <c r="P10" s="463"/>
      <c r="Q10" s="461">
        <f t="shared" si="0"/>
        <v>3505.6058854480643</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152763.35496954987</v>
      </c>
      <c r="C14" s="472">
        <f t="shared" ref="C14:Q14" ca="1" si="1">SUM(C4:C13)</f>
        <v>0</v>
      </c>
      <c r="D14" s="472">
        <f t="shared" ca="1" si="1"/>
        <v>178416.54159191766</v>
      </c>
      <c r="E14" s="472">
        <f t="shared" si="1"/>
        <v>4778.6467384237949</v>
      </c>
      <c r="F14" s="472">
        <f t="shared" ca="1" si="1"/>
        <v>54455.94127376956</v>
      </c>
      <c r="G14" s="472">
        <f t="shared" si="1"/>
        <v>192747.28329192093</v>
      </c>
      <c r="H14" s="472">
        <f t="shared" si="1"/>
        <v>34703.951086291403</v>
      </c>
      <c r="I14" s="472">
        <f t="shared" si="1"/>
        <v>0</v>
      </c>
      <c r="J14" s="472">
        <f t="shared" si="1"/>
        <v>448.84199860827977</v>
      </c>
      <c r="K14" s="472">
        <f t="shared" si="1"/>
        <v>0</v>
      </c>
      <c r="L14" s="472">
        <f t="shared" ca="1" si="1"/>
        <v>0</v>
      </c>
      <c r="M14" s="472">
        <f t="shared" si="1"/>
        <v>10168.486649821711</v>
      </c>
      <c r="N14" s="472">
        <f t="shared" ca="1" si="1"/>
        <v>15936.415588560149</v>
      </c>
      <c r="O14" s="472">
        <f t="shared" si="1"/>
        <v>215.74</v>
      </c>
      <c r="P14" s="473">
        <f t="shared" si="1"/>
        <v>362.26666666666665</v>
      </c>
      <c r="Q14" s="473">
        <f t="shared" ca="1" si="1"/>
        <v>644997.46985553007</v>
      </c>
    </row>
    <row r="16" spans="1:17">
      <c r="A16" s="475" t="s">
        <v>574</v>
      </c>
      <c r="B16" s="829">
        <f ca="1">huishoudens!B10</f>
        <v>0.21540089547624425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10440.341491763336</v>
      </c>
      <c r="C21" s="462">
        <f t="shared" ref="C21:C28" ca="1" si="3">C4*$C$16</f>
        <v>0</v>
      </c>
      <c r="D21" s="462">
        <f t="shared" ref="D21:D30" si="4">D4*$D$16</f>
        <v>20316.992218894618</v>
      </c>
      <c r="E21" s="462">
        <f t="shared" ref="E21:E30" si="5">E4*$E$16</f>
        <v>744.21704240095414</v>
      </c>
      <c r="F21" s="462">
        <f t="shared" ref="F21:F28" si="6">F4*$F$16</f>
        <v>5394.4070093084292</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36895.957762367339</v>
      </c>
    </row>
    <row r="22" spans="1:17">
      <c r="A22" s="461" t="s">
        <v>156</v>
      </c>
      <c r="B22" s="462">
        <f t="shared" ca="1" si="2"/>
        <v>15189.867555563329</v>
      </c>
      <c r="C22" s="462">
        <f t="shared" ca="1" si="3"/>
        <v>0</v>
      </c>
      <c r="D22" s="462">
        <f t="shared" ca="1" si="4"/>
        <v>10058.99224475673</v>
      </c>
      <c r="E22" s="462">
        <f t="shared" si="5"/>
        <v>53.853279533053005</v>
      </c>
      <c r="F22" s="462">
        <f t="shared" ca="1" si="6"/>
        <v>5151.9234527985054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30454.636532651621</v>
      </c>
    </row>
    <row r="23" spans="1:17">
      <c r="A23" s="461" t="s">
        <v>194</v>
      </c>
      <c r="B23" s="462">
        <f t="shared" ca="1" si="2"/>
        <v>402.1498100389249</v>
      </c>
      <c r="C23" s="462"/>
      <c r="D23" s="462"/>
      <c r="E23" s="462"/>
      <c r="F23" s="462"/>
      <c r="G23" s="462"/>
      <c r="H23" s="462"/>
      <c r="I23" s="462"/>
      <c r="J23" s="462"/>
      <c r="K23" s="462"/>
      <c r="L23" s="462"/>
      <c r="M23" s="462"/>
      <c r="N23" s="462"/>
      <c r="O23" s="462"/>
      <c r="P23" s="463"/>
      <c r="Q23" s="461">
        <f t="shared" ca="1" si="17"/>
        <v>402.1498100389249</v>
      </c>
    </row>
    <row r="24" spans="1:17">
      <c r="A24" s="461" t="s">
        <v>112</v>
      </c>
      <c r="B24" s="462">
        <f t="shared" ca="1" si="2"/>
        <v>532.1567281833569</v>
      </c>
      <c r="C24" s="462">
        <f t="shared" ca="1" si="3"/>
        <v>0</v>
      </c>
      <c r="D24" s="462">
        <f t="shared" si="4"/>
        <v>2963.7892405443095</v>
      </c>
      <c r="E24" s="462">
        <f t="shared" si="5"/>
        <v>5.2832322446910416</v>
      </c>
      <c r="F24" s="462">
        <f t="shared" si="6"/>
        <v>2152.6060511989203</v>
      </c>
      <c r="G24" s="462">
        <f t="shared" si="7"/>
        <v>0</v>
      </c>
      <c r="H24" s="462">
        <f t="shared" si="8"/>
        <v>0</v>
      </c>
      <c r="I24" s="462">
        <f t="shared" si="9"/>
        <v>0</v>
      </c>
      <c r="J24" s="462">
        <f t="shared" si="10"/>
        <v>108.18874704006519</v>
      </c>
      <c r="K24" s="462">
        <f t="shared" si="11"/>
        <v>0</v>
      </c>
      <c r="L24" s="462">
        <f t="shared" si="12"/>
        <v>0</v>
      </c>
      <c r="M24" s="462">
        <f t="shared" si="13"/>
        <v>0</v>
      </c>
      <c r="N24" s="462">
        <f t="shared" si="14"/>
        <v>0</v>
      </c>
      <c r="O24" s="462">
        <f t="shared" si="15"/>
        <v>0</v>
      </c>
      <c r="P24" s="463">
        <f t="shared" si="16"/>
        <v>0</v>
      </c>
      <c r="Q24" s="461">
        <f t="shared" ca="1" si="17"/>
        <v>5762.0239992113429</v>
      </c>
    </row>
    <row r="25" spans="1:17">
      <c r="A25" s="461" t="s">
        <v>685</v>
      </c>
      <c r="B25" s="462">
        <f t="shared" ca="1" si="2"/>
        <v>6339.725149745107</v>
      </c>
      <c r="C25" s="462">
        <f t="shared" ca="1" si="3"/>
        <v>0</v>
      </c>
      <c r="D25" s="462">
        <f t="shared" si="4"/>
        <v>2697.269204552661</v>
      </c>
      <c r="E25" s="462">
        <f t="shared" si="5"/>
        <v>60.966519587036068</v>
      </c>
      <c r="F25" s="462">
        <f t="shared" si="6"/>
        <v>1840.7998067906194</v>
      </c>
      <c r="G25" s="462">
        <f t="shared" si="7"/>
        <v>0</v>
      </c>
      <c r="H25" s="462">
        <f t="shared" si="8"/>
        <v>0</v>
      </c>
      <c r="I25" s="462">
        <f t="shared" si="9"/>
        <v>0</v>
      </c>
      <c r="J25" s="462">
        <f t="shared" si="10"/>
        <v>50.70132046726583</v>
      </c>
      <c r="K25" s="462">
        <f t="shared" si="11"/>
        <v>0</v>
      </c>
      <c r="L25" s="462">
        <f t="shared" si="12"/>
        <v>0</v>
      </c>
      <c r="M25" s="462">
        <f t="shared" si="13"/>
        <v>0</v>
      </c>
      <c r="N25" s="462">
        <f t="shared" si="14"/>
        <v>0</v>
      </c>
      <c r="O25" s="462">
        <f t="shared" si="15"/>
        <v>0</v>
      </c>
      <c r="P25" s="463">
        <f t="shared" si="16"/>
        <v>0</v>
      </c>
      <c r="Q25" s="461">
        <f t="shared" ca="1" si="17"/>
        <v>10989.462001142689</v>
      </c>
    </row>
    <row r="26" spans="1:17" s="467" customFormat="1">
      <c r="A26" s="465" t="s">
        <v>579</v>
      </c>
      <c r="B26" s="823">
        <f t="shared" ca="1" si="2"/>
        <v>1.1227211023593882</v>
      </c>
      <c r="C26" s="466"/>
      <c r="D26" s="466">
        <f t="shared" si="4"/>
        <v>3.0984928190584351</v>
      </c>
      <c r="E26" s="466">
        <f t="shared" si="5"/>
        <v>220.43273585646722</v>
      </c>
      <c r="F26" s="466"/>
      <c r="G26" s="466">
        <f t="shared" si="7"/>
        <v>50566.900128841458</v>
      </c>
      <c r="H26" s="466">
        <f t="shared" si="8"/>
        <v>8641.2838204865602</v>
      </c>
      <c r="I26" s="466"/>
      <c r="J26" s="466"/>
      <c r="K26" s="466"/>
      <c r="L26" s="466"/>
      <c r="M26" s="466">
        <f t="shared" si="13"/>
        <v>0</v>
      </c>
      <c r="N26" s="466"/>
      <c r="O26" s="466"/>
      <c r="P26" s="477"/>
      <c r="Q26" s="465">
        <f t="shared" ca="1" si="17"/>
        <v>59432.837899105907</v>
      </c>
    </row>
    <row r="27" spans="1:17">
      <c r="A27" s="461" t="s">
        <v>569</v>
      </c>
      <c r="B27" s="462">
        <f t="shared" ca="1" si="2"/>
        <v>0</v>
      </c>
      <c r="C27" s="462"/>
      <c r="D27" s="466">
        <f t="shared" si="4"/>
        <v>0</v>
      </c>
      <c r="E27" s="462"/>
      <c r="F27" s="462"/>
      <c r="G27" s="462">
        <f t="shared" si="7"/>
        <v>896.62451010143229</v>
      </c>
      <c r="H27" s="462"/>
      <c r="I27" s="462"/>
      <c r="J27" s="462"/>
      <c r="K27" s="462"/>
      <c r="L27" s="462"/>
      <c r="M27" s="462">
        <f t="shared" si="13"/>
        <v>0</v>
      </c>
      <c r="N27" s="462"/>
      <c r="O27" s="462"/>
      <c r="P27" s="463"/>
      <c r="Q27" s="461">
        <f t="shared" ca="1" si="17"/>
        <v>896.62451010143229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32905.363456396408</v>
      </c>
      <c r="C31" s="472">
        <f t="shared" ca="1" si="18"/>
        <v>0</v>
      </c>
      <c r="D31" s="472">
        <f t="shared" ca="1" si="18"/>
        <v>36040.14140156738</v>
      </c>
      <c r="E31" s="472">
        <f t="shared" si="18"/>
        <v>1084.7528096222013</v>
      </c>
      <c r="F31" s="472">
        <f t="shared" ca="1" si="18"/>
        <v>14539.736320096474</v>
      </c>
      <c r="G31" s="472">
        <f t="shared" si="18"/>
        <v>51463.524638942894</v>
      </c>
      <c r="H31" s="472">
        <f t="shared" si="18"/>
        <v>8641.2838204865602</v>
      </c>
      <c r="I31" s="472">
        <f t="shared" si="18"/>
        <v>0</v>
      </c>
      <c r="J31" s="472">
        <f t="shared" si="18"/>
        <v>158.89006750733103</v>
      </c>
      <c r="K31" s="472">
        <f t="shared" si="18"/>
        <v>0</v>
      </c>
      <c r="L31" s="472">
        <f t="shared" ca="1" si="18"/>
        <v>0</v>
      </c>
      <c r="M31" s="472">
        <f t="shared" si="18"/>
        <v>0</v>
      </c>
      <c r="N31" s="472">
        <f t="shared" ca="1" si="18"/>
        <v>0</v>
      </c>
      <c r="O31" s="472">
        <f t="shared" si="18"/>
        <v>0</v>
      </c>
      <c r="P31" s="473">
        <f t="shared" si="18"/>
        <v>0</v>
      </c>
      <c r="Q31" s="473">
        <f t="shared" ca="1" si="18"/>
        <v>144833.69251461927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0.21540089547624425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0.21540089547624425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0.21540089547624425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44043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9481</v>
      </c>
      <c r="C9" s="338">
        <v>10130</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1363</v>
      </c>
    </row>
    <row r="15" spans="1:6">
      <c r="A15" s="1260" t="s">
        <v>184</v>
      </c>
      <c r="B15" s="335">
        <v>5</v>
      </c>
    </row>
    <row r="16" spans="1:6">
      <c r="A16" s="1260" t="s">
        <v>6</v>
      </c>
      <c r="B16" s="335">
        <v>223</v>
      </c>
    </row>
    <row r="17" spans="1:6">
      <c r="A17" s="1260" t="s">
        <v>7</v>
      </c>
      <c r="B17" s="335">
        <v>324</v>
      </c>
    </row>
    <row r="18" spans="1:6">
      <c r="A18" s="1260" t="s">
        <v>8</v>
      </c>
      <c r="B18" s="335">
        <v>427</v>
      </c>
    </row>
    <row r="19" spans="1:6">
      <c r="A19" s="1260" t="s">
        <v>9</v>
      </c>
      <c r="B19" s="335">
        <v>399</v>
      </c>
    </row>
    <row r="20" spans="1:6">
      <c r="A20" s="1260" t="s">
        <v>10</v>
      </c>
      <c r="B20" s="335">
        <v>291</v>
      </c>
    </row>
    <row r="21" spans="1:6">
      <c r="A21" s="1260" t="s">
        <v>11</v>
      </c>
      <c r="B21" s="335">
        <v>308</v>
      </c>
    </row>
    <row r="22" spans="1:6">
      <c r="A22" s="1260" t="s">
        <v>12</v>
      </c>
      <c r="B22" s="335">
        <v>115</v>
      </c>
    </row>
    <row r="23" spans="1:6">
      <c r="A23" s="1260" t="s">
        <v>13</v>
      </c>
      <c r="B23" s="335">
        <v>14</v>
      </c>
    </row>
    <row r="24" spans="1:6">
      <c r="A24" s="1260" t="s">
        <v>14</v>
      </c>
      <c r="B24" s="335">
        <v>2</v>
      </c>
    </row>
    <row r="25" spans="1:6">
      <c r="A25" s="1260" t="s">
        <v>15</v>
      </c>
      <c r="B25" s="335">
        <v>109</v>
      </c>
    </row>
    <row r="26" spans="1:6">
      <c r="A26" s="1260" t="s">
        <v>16</v>
      </c>
      <c r="B26" s="335">
        <v>47</v>
      </c>
    </row>
    <row r="27" spans="1:6">
      <c r="A27" s="1260" t="s">
        <v>17</v>
      </c>
      <c r="B27" s="335">
        <v>8</v>
      </c>
    </row>
    <row r="28" spans="1:6" s="341" customFormat="1">
      <c r="A28" s="1261" t="s">
        <v>18</v>
      </c>
      <c r="B28" s="1261">
        <v>3472</v>
      </c>
    </row>
    <row r="29" spans="1:6">
      <c r="A29" s="1261" t="s">
        <v>910</v>
      </c>
      <c r="B29" s="1261">
        <v>201</v>
      </c>
      <c r="C29" s="341"/>
      <c r="D29" s="341"/>
      <c r="E29" s="341"/>
      <c r="F29" s="341"/>
    </row>
    <row r="30" spans="1:6">
      <c r="A30" s="1256" t="s">
        <v>911</v>
      </c>
      <c r="B30" s="1256">
        <v>36</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3</v>
      </c>
      <c r="F35" s="335">
        <v>114459.110797783</v>
      </c>
    </row>
    <row r="36" spans="1:6">
      <c r="A36" s="1260" t="s">
        <v>25</v>
      </c>
      <c r="B36" s="1260" t="s">
        <v>27</v>
      </c>
      <c r="C36" s="335">
        <v>0</v>
      </c>
      <c r="D36" s="335">
        <v>0</v>
      </c>
      <c r="E36" s="335">
        <v>3</v>
      </c>
      <c r="F36" s="335">
        <v>19504.292618839401</v>
      </c>
    </row>
    <row r="37" spans="1:6">
      <c r="A37" s="1260" t="s">
        <v>25</v>
      </c>
      <c r="B37" s="1260" t="s">
        <v>28</v>
      </c>
      <c r="C37" s="335">
        <v>0</v>
      </c>
      <c r="D37" s="335">
        <v>0</v>
      </c>
      <c r="E37" s="335">
        <v>0</v>
      </c>
      <c r="F37" s="335">
        <v>0</v>
      </c>
    </row>
    <row r="38" spans="1:6">
      <c r="A38" s="1260" t="s">
        <v>25</v>
      </c>
      <c r="B38" s="1260" t="s">
        <v>29</v>
      </c>
      <c r="C38" s="335">
        <v>2</v>
      </c>
      <c r="D38" s="335">
        <v>12819.3029315037</v>
      </c>
      <c r="E38" s="335">
        <v>3</v>
      </c>
      <c r="F38" s="335">
        <v>37560.612008797201</v>
      </c>
    </row>
    <row r="39" spans="1:6">
      <c r="A39" s="1260" t="s">
        <v>30</v>
      </c>
      <c r="B39" s="1260" t="s">
        <v>31</v>
      </c>
      <c r="C39" s="335">
        <v>5947</v>
      </c>
      <c r="D39" s="335">
        <v>111506839.690098</v>
      </c>
      <c r="E39" s="335">
        <v>9325</v>
      </c>
      <c r="F39" s="335">
        <v>44878007.165001102</v>
      </c>
    </row>
    <row r="40" spans="1:6">
      <c r="A40" s="1260" t="s">
        <v>30</v>
      </c>
      <c r="B40" s="1260" t="s">
        <v>29</v>
      </c>
      <c r="C40" s="335">
        <v>0</v>
      </c>
      <c r="D40" s="335">
        <v>0</v>
      </c>
      <c r="E40" s="335">
        <v>0</v>
      </c>
      <c r="F40" s="335">
        <v>0</v>
      </c>
    </row>
    <row r="41" spans="1:6">
      <c r="A41" s="1260" t="s">
        <v>32</v>
      </c>
      <c r="B41" s="1260" t="s">
        <v>33</v>
      </c>
      <c r="C41" s="335">
        <v>83</v>
      </c>
      <c r="D41" s="335">
        <v>2063217.0241845599</v>
      </c>
      <c r="E41" s="335">
        <v>206</v>
      </c>
      <c r="F41" s="335">
        <v>2019162.23832156</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7</v>
      </c>
      <c r="D44" s="335">
        <v>909784.95543490304</v>
      </c>
      <c r="E44" s="335">
        <v>29</v>
      </c>
      <c r="F44" s="335">
        <v>850642.21656772797</v>
      </c>
    </row>
    <row r="45" spans="1:6">
      <c r="A45" s="1260" t="s">
        <v>32</v>
      </c>
      <c r="B45" s="1260" t="s">
        <v>37</v>
      </c>
      <c r="C45" s="335">
        <v>0</v>
      </c>
      <c r="D45" s="335">
        <v>0</v>
      </c>
      <c r="E45" s="335">
        <v>3</v>
      </c>
      <c r="F45" s="335">
        <v>12337.8287102292</v>
      </c>
    </row>
    <row r="46" spans="1:6">
      <c r="A46" s="1260" t="s">
        <v>32</v>
      </c>
      <c r="B46" s="1260" t="s">
        <v>38</v>
      </c>
      <c r="C46" s="335">
        <v>0</v>
      </c>
      <c r="D46" s="335">
        <v>0</v>
      </c>
      <c r="E46" s="335">
        <v>0</v>
      </c>
      <c r="F46" s="335">
        <v>0</v>
      </c>
    </row>
    <row r="47" spans="1:6">
      <c r="A47" s="1260" t="s">
        <v>32</v>
      </c>
      <c r="B47" s="1260" t="s">
        <v>39</v>
      </c>
      <c r="C47" s="335">
        <v>4</v>
      </c>
      <c r="D47" s="335">
        <v>125196.665785513</v>
      </c>
      <c r="E47" s="335">
        <v>9</v>
      </c>
      <c r="F47" s="335">
        <v>392653.53967937903</v>
      </c>
    </row>
    <row r="48" spans="1:6">
      <c r="A48" s="1260" t="s">
        <v>32</v>
      </c>
      <c r="B48" s="1260" t="s">
        <v>29</v>
      </c>
      <c r="C48" s="335">
        <v>34</v>
      </c>
      <c r="D48" s="335">
        <v>11362109.373916499</v>
      </c>
      <c r="E48" s="335">
        <v>34</v>
      </c>
      <c r="F48" s="335">
        <v>25652455.651758499</v>
      </c>
    </row>
    <row r="49" spans="1:6">
      <c r="A49" s="1260" t="s">
        <v>32</v>
      </c>
      <c r="B49" s="1260" t="s">
        <v>40</v>
      </c>
      <c r="C49" s="335">
        <v>0</v>
      </c>
      <c r="D49" s="335">
        <v>0</v>
      </c>
      <c r="E49" s="335">
        <v>0</v>
      </c>
      <c r="F49" s="335">
        <v>0</v>
      </c>
    </row>
    <row r="50" spans="1:6">
      <c r="A50" s="1260" t="s">
        <v>32</v>
      </c>
      <c r="B50" s="1260" t="s">
        <v>41</v>
      </c>
      <c r="C50" s="335">
        <v>7</v>
      </c>
      <c r="D50" s="335">
        <v>343259.43557886197</v>
      </c>
      <c r="E50" s="335">
        <v>14</v>
      </c>
      <c r="F50" s="335">
        <v>504962.052804187</v>
      </c>
    </row>
    <row r="51" spans="1:6">
      <c r="A51" s="1260" t="s">
        <v>42</v>
      </c>
      <c r="B51" s="1260" t="s">
        <v>43</v>
      </c>
      <c r="C51" s="335">
        <v>24</v>
      </c>
      <c r="D51" s="335">
        <v>10611954.9295571</v>
      </c>
      <c r="E51" s="335">
        <v>99</v>
      </c>
      <c r="F51" s="335">
        <v>2424648.5564732198</v>
      </c>
    </row>
    <row r="52" spans="1:6">
      <c r="A52" s="1260" t="s">
        <v>42</v>
      </c>
      <c r="B52" s="1260" t="s">
        <v>29</v>
      </c>
      <c r="C52" s="335">
        <v>3</v>
      </c>
      <c r="D52" s="335">
        <v>58519.310999552501</v>
      </c>
      <c r="E52" s="335">
        <v>6</v>
      </c>
      <c r="F52" s="335">
        <v>45892.371440640702</v>
      </c>
    </row>
    <row r="53" spans="1:6">
      <c r="A53" s="1260" t="s">
        <v>44</v>
      </c>
      <c r="B53" s="1260" t="s">
        <v>45</v>
      </c>
      <c r="C53" s="335">
        <v>134</v>
      </c>
      <c r="D53" s="335">
        <v>5595849.4435793096</v>
      </c>
      <c r="E53" s="335">
        <v>246</v>
      </c>
      <c r="F53" s="335">
        <v>1351893.68424726</v>
      </c>
    </row>
    <row r="54" spans="1:6">
      <c r="A54" s="1260" t="s">
        <v>46</v>
      </c>
      <c r="B54" s="1260" t="s">
        <v>47</v>
      </c>
      <c r="C54" s="335">
        <v>0</v>
      </c>
      <c r="D54" s="335">
        <v>0</v>
      </c>
      <c r="E54" s="335">
        <v>5</v>
      </c>
      <c r="F54" s="335">
        <v>1866983</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39</v>
      </c>
      <c r="D57" s="335">
        <v>1023163.4155094801</v>
      </c>
      <c r="E57" s="335">
        <v>147</v>
      </c>
      <c r="F57" s="335">
        <v>3142731.04694115</v>
      </c>
    </row>
    <row r="58" spans="1:6">
      <c r="A58" s="1260" t="s">
        <v>49</v>
      </c>
      <c r="B58" s="1260" t="s">
        <v>51</v>
      </c>
      <c r="C58" s="335">
        <v>44</v>
      </c>
      <c r="D58" s="335">
        <v>3455766.9731864301</v>
      </c>
      <c r="E58" s="335">
        <v>72</v>
      </c>
      <c r="F58" s="335">
        <v>34901311.190292597</v>
      </c>
    </row>
    <row r="59" spans="1:6">
      <c r="A59" s="1260" t="s">
        <v>49</v>
      </c>
      <c r="B59" s="1260" t="s">
        <v>52</v>
      </c>
      <c r="C59" s="335">
        <v>123</v>
      </c>
      <c r="D59" s="335">
        <v>5896454.2036763001</v>
      </c>
      <c r="E59" s="335">
        <v>248</v>
      </c>
      <c r="F59" s="335">
        <v>8979005.8118033502</v>
      </c>
    </row>
    <row r="60" spans="1:6">
      <c r="A60" s="1260" t="s">
        <v>49</v>
      </c>
      <c r="B60" s="1260" t="s">
        <v>53</v>
      </c>
      <c r="C60" s="335">
        <v>59</v>
      </c>
      <c r="D60" s="335">
        <v>2808136.4072538801</v>
      </c>
      <c r="E60" s="335">
        <v>74</v>
      </c>
      <c r="F60" s="335">
        <v>1525790.05719925</v>
      </c>
    </row>
    <row r="61" spans="1:6">
      <c r="A61" s="1260" t="s">
        <v>49</v>
      </c>
      <c r="B61" s="1260" t="s">
        <v>54</v>
      </c>
      <c r="C61" s="335">
        <v>276</v>
      </c>
      <c r="D61" s="335">
        <v>24435545.320319001</v>
      </c>
      <c r="E61" s="335">
        <v>401</v>
      </c>
      <c r="F61" s="335">
        <v>14576879.3578439</v>
      </c>
    </row>
    <row r="62" spans="1:6">
      <c r="A62" s="1260" t="s">
        <v>49</v>
      </c>
      <c r="B62" s="1260" t="s">
        <v>55</v>
      </c>
      <c r="C62" s="335">
        <v>13</v>
      </c>
      <c r="D62" s="335">
        <v>11500770.648974501</v>
      </c>
      <c r="E62" s="335">
        <v>20</v>
      </c>
      <c r="F62" s="335">
        <v>4784935.43796892</v>
      </c>
    </row>
    <row r="63" spans="1:6">
      <c r="A63" s="1260" t="s">
        <v>49</v>
      </c>
      <c r="B63" s="1260" t="s">
        <v>29</v>
      </c>
      <c r="C63" s="335">
        <v>103</v>
      </c>
      <c r="D63" s="335">
        <v>6087470.47085521</v>
      </c>
      <c r="E63" s="335">
        <v>98</v>
      </c>
      <c r="F63" s="335">
        <v>2608401.9142227601</v>
      </c>
    </row>
    <row r="64" spans="1:6">
      <c r="A64" s="1260" t="s">
        <v>56</v>
      </c>
      <c r="B64" s="1260" t="s">
        <v>57</v>
      </c>
      <c r="C64" s="335">
        <v>0</v>
      </c>
      <c r="D64" s="335">
        <v>0</v>
      </c>
      <c r="E64" s="335">
        <v>0</v>
      </c>
      <c r="F64" s="335">
        <v>0</v>
      </c>
    </row>
    <row r="65" spans="1:6">
      <c r="A65" s="1260" t="s">
        <v>56</v>
      </c>
      <c r="B65" s="1260" t="s">
        <v>29</v>
      </c>
      <c r="C65" s="335">
        <v>0</v>
      </c>
      <c r="D65" s="335">
        <v>0</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4</v>
      </c>
      <c r="D68" s="335">
        <v>133272.775080669</v>
      </c>
      <c r="E68" s="335">
        <v>7</v>
      </c>
      <c r="F68" s="335">
        <v>53351.211198635101</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76908536</v>
      </c>
      <c r="E73" s="335">
        <v>67924307.214679882</v>
      </c>
    </row>
    <row r="74" spans="1:6">
      <c r="A74" s="1260" t="s">
        <v>64</v>
      </c>
      <c r="B74" s="1260" t="s">
        <v>772</v>
      </c>
      <c r="C74" s="1271" t="s">
        <v>766</v>
      </c>
      <c r="D74" s="335">
        <v>6038127.4758955156</v>
      </c>
      <c r="E74" s="335">
        <v>5120736.7797019891</v>
      </c>
    </row>
    <row r="75" spans="1:6">
      <c r="A75" s="1260" t="s">
        <v>65</v>
      </c>
      <c r="B75" s="1260" t="s">
        <v>771</v>
      </c>
      <c r="C75" s="1271" t="s">
        <v>767</v>
      </c>
      <c r="D75" s="335">
        <v>59064818</v>
      </c>
      <c r="E75" s="335">
        <v>50586807.316690914</v>
      </c>
    </row>
    <row r="76" spans="1:6">
      <c r="A76" s="1260" t="s">
        <v>65</v>
      </c>
      <c r="B76" s="1260" t="s">
        <v>772</v>
      </c>
      <c r="C76" s="1271" t="s">
        <v>768</v>
      </c>
      <c r="D76" s="335">
        <v>3640074.4758955156</v>
      </c>
      <c r="E76" s="335">
        <v>2716310.8393851542</v>
      </c>
    </row>
    <row r="77" spans="1:6">
      <c r="A77" s="1260" t="s">
        <v>66</v>
      </c>
      <c r="B77" s="1260" t="s">
        <v>771</v>
      </c>
      <c r="C77" s="1271" t="s">
        <v>769</v>
      </c>
      <c r="D77" s="335">
        <v>111756333</v>
      </c>
      <c r="E77" s="335">
        <v>116165760.1635299</v>
      </c>
    </row>
    <row r="78" spans="1:6">
      <c r="A78" s="1256" t="s">
        <v>66</v>
      </c>
      <c r="B78" s="1256" t="s">
        <v>772</v>
      </c>
      <c r="C78" s="1256" t="s">
        <v>770</v>
      </c>
      <c r="D78" s="1256">
        <v>11335372</v>
      </c>
      <c r="E78" s="1256">
        <v>12190951.679089887</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922337.04820896906</v>
      </c>
      <c r="C83" s="335">
        <v>885880.94620958425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3591.3432928049679</v>
      </c>
    </row>
    <row r="92" spans="1:6">
      <c r="A92" s="1256" t="s">
        <v>69</v>
      </c>
      <c r="B92" s="338">
        <v>278.96436273398427</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3542</v>
      </c>
    </row>
    <row r="98" spans="1:6">
      <c r="A98" s="1260" t="s">
        <v>72</v>
      </c>
      <c r="B98" s="335">
        <v>1</v>
      </c>
    </row>
    <row r="99" spans="1:6">
      <c r="A99" s="1260" t="s">
        <v>73</v>
      </c>
      <c r="B99" s="335">
        <v>75</v>
      </c>
    </row>
    <row r="100" spans="1:6">
      <c r="A100" s="1260" t="s">
        <v>74</v>
      </c>
      <c r="B100" s="335">
        <v>1093</v>
      </c>
    </row>
    <row r="101" spans="1:6">
      <c r="A101" s="1260" t="s">
        <v>75</v>
      </c>
      <c r="B101" s="335">
        <v>88</v>
      </c>
    </row>
    <row r="102" spans="1:6">
      <c r="A102" s="1260" t="s">
        <v>76</v>
      </c>
      <c r="B102" s="335">
        <v>153</v>
      </c>
    </row>
    <row r="103" spans="1:6">
      <c r="A103" s="1260" t="s">
        <v>77</v>
      </c>
      <c r="B103" s="335">
        <v>240</v>
      </c>
    </row>
    <row r="104" spans="1:6">
      <c r="A104" s="1260" t="s">
        <v>78</v>
      </c>
      <c r="B104" s="335">
        <v>3188</v>
      </c>
    </row>
    <row r="105" spans="1:6">
      <c r="A105" s="1256" t="s">
        <v>79</v>
      </c>
      <c r="B105" s="1256">
        <v>4</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13</v>
      </c>
      <c r="C123" s="335">
        <v>32</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106</v>
      </c>
    </row>
    <row r="130" spans="1:6">
      <c r="A130" s="1260" t="s">
        <v>295</v>
      </c>
      <c r="B130" s="335">
        <v>0</v>
      </c>
    </row>
    <row r="131" spans="1:6">
      <c r="A131" s="1260" t="s">
        <v>296</v>
      </c>
      <c r="B131" s="335">
        <v>0</v>
      </c>
    </row>
    <row r="132" spans="1:6">
      <c r="A132" s="1256" t="s">
        <v>297</v>
      </c>
      <c r="B132" s="338">
        <v>6</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152763.35496954987</v>
      </c>
      <c r="C3" s="44" t="s">
        <v>170</v>
      </c>
      <c r="D3" s="44"/>
      <c r="E3" s="157"/>
      <c r="F3" s="44"/>
      <c r="G3" s="44"/>
      <c r="H3" s="44"/>
      <c r="I3" s="44"/>
      <c r="J3" s="44"/>
      <c r="K3" s="97"/>
    </row>
    <row r="4" spans="1:11">
      <c r="A4" s="365" t="s">
        <v>171</v>
      </c>
      <c r="B4" s="50">
        <f>IF(ISERROR('SEAP template'!B69),0,'SEAP template'!B69)</f>
        <v>3870.3076555389521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0.21540089547624425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1866.9829999999999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1866.9829999999999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0.21540089547624425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402.1498100389249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44878.007165001101</v>
      </c>
      <c r="C5" s="18">
        <f>IF(ISERROR('Eigen informatie GS &amp; warmtenet'!B57),0,'Eigen informatie GS &amp; warmtenet'!B57)</f>
        <v>0</v>
      </c>
      <c r="D5" s="31">
        <f>(SUM(HH_hh_gas_kWh,HH_rest_gas_kWh)/1000)*0.902</f>
        <v>100579.1694004684</v>
      </c>
      <c r="E5" s="18">
        <f>B46*B57</f>
        <v>3278.489173572485</v>
      </c>
      <c r="F5" s="18">
        <f>B51*B62</f>
        <v>20203.771570443554</v>
      </c>
      <c r="G5" s="19"/>
      <c r="H5" s="18"/>
      <c r="I5" s="18"/>
      <c r="J5" s="18">
        <f>B50*B61+C50*C61</f>
        <v>0</v>
      </c>
      <c r="K5" s="18"/>
      <c r="L5" s="18"/>
      <c r="M5" s="18"/>
      <c r="N5" s="18">
        <f>B48*B59+C48*C59</f>
        <v>12492.518380816391</v>
      </c>
      <c r="O5" s="18">
        <f>B69*B70*B71</f>
        <v>215.74</v>
      </c>
      <c r="P5" s="18">
        <f>B77*B78*B79/1000-B77*B78*B79/1000/B80</f>
        <v>362.26666666666665</v>
      </c>
    </row>
    <row r="6" spans="1:16">
      <c r="A6" s="17" t="s">
        <v>639</v>
      </c>
      <c r="B6" s="831">
        <f>kWh_PV_kleiner_dan_10kW</f>
        <v>3591.3432928049679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48469.350457806067</v>
      </c>
      <c r="C8" s="22">
        <f>C5</f>
        <v>0</v>
      </c>
      <c r="D8" s="22">
        <f>D5</f>
        <v>100579.1694004684</v>
      </c>
      <c r="E8" s="22">
        <f>E5</f>
        <v>3278.489173572485</v>
      </c>
      <c r="F8" s="22">
        <f>F5</f>
        <v>20203.771570443554</v>
      </c>
      <c r="G8" s="22"/>
      <c r="H8" s="22"/>
      <c r="I8" s="22"/>
      <c r="J8" s="22">
        <f>J5</f>
        <v>0</v>
      </c>
      <c r="K8" s="22"/>
      <c r="L8" s="22">
        <f>L5</f>
        <v>0</v>
      </c>
      <c r="M8" s="22">
        <f>M5</f>
        <v>0</v>
      </c>
      <c r="N8" s="22">
        <f>N5</f>
        <v>12492.518380816391</v>
      </c>
      <c r="O8" s="22">
        <f>O5</f>
        <v>215.74</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0.21540089547624425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10440.341491763336</v>
      </c>
      <c r="C12" s="24">
        <f ca="1">C10*C8</f>
        <v>0</v>
      </c>
      <c r="D12" s="24">
        <f>D8*D10</f>
        <v>20316.992218894618</v>
      </c>
      <c r="E12" s="24">
        <f>E10*E8</f>
        <v>744.21704240095414</v>
      </c>
      <c r="F12" s="24">
        <f>F10*F8</f>
        <v>5394.4070093084292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3542</v>
      </c>
      <c r="C18" s="169" t="s">
        <v>111</v>
      </c>
      <c r="D18" s="231"/>
      <c r="E18" s="16"/>
    </row>
    <row r="19" spans="1:7">
      <c r="A19" s="174" t="s">
        <v>72</v>
      </c>
      <c r="B19" s="38">
        <f>aantalw2001_ander</f>
        <v>1</v>
      </c>
      <c r="C19" s="169" t="s">
        <v>111</v>
      </c>
      <c r="D19" s="232"/>
      <c r="E19" s="16"/>
    </row>
    <row r="20" spans="1:7">
      <c r="A20" s="174" t="s">
        <v>73</v>
      </c>
      <c r="B20" s="38">
        <f>aantalw2001_propaan</f>
        <v>75</v>
      </c>
      <c r="C20" s="170">
        <f>IF(ISERROR(B20/SUM($B$20,$B$21,$B$22)*100),0,B20/SUM($B$20,$B$21,$B$22)*100)</f>
        <v>5.9713375796178347</v>
      </c>
      <c r="D20" s="232"/>
      <c r="E20" s="16"/>
    </row>
    <row r="21" spans="1:7">
      <c r="A21" s="174" t="s">
        <v>74</v>
      </c>
      <c r="B21" s="38">
        <f>aantalw2001_elektriciteit</f>
        <v>1093</v>
      </c>
      <c r="C21" s="170">
        <f>IF(ISERROR(B21/SUM($B$20,$B$21,$B$22)*100),0,B21/SUM($B$20,$B$21,$B$22)*100)</f>
        <v>87.022292993630572</v>
      </c>
      <c r="D21" s="232"/>
      <c r="E21" s="16"/>
    </row>
    <row r="22" spans="1:7">
      <c r="A22" s="174" t="s">
        <v>75</v>
      </c>
      <c r="B22" s="38">
        <f>aantalw2001_hout</f>
        <v>88</v>
      </c>
      <c r="C22" s="170">
        <f>IF(ISERROR(B22/SUM($B$20,$B$21,$B$22)*100),0,B22/SUM($B$20,$B$21,$B$22)*100)</f>
        <v>7.0063694267515926</v>
      </c>
      <c r="D22" s="232"/>
      <c r="E22" s="16"/>
    </row>
    <row r="23" spans="1:7">
      <c r="A23" s="174" t="s">
        <v>76</v>
      </c>
      <c r="B23" s="38">
        <f>aantalw2001_niet_gespec</f>
        <v>153</v>
      </c>
      <c r="C23" s="169" t="s">
        <v>111</v>
      </c>
      <c r="D23" s="231"/>
      <c r="E23" s="16"/>
    </row>
    <row r="24" spans="1:7">
      <c r="A24" s="174" t="s">
        <v>77</v>
      </c>
      <c r="B24" s="38">
        <f>aantalw2001_steenkool</f>
        <v>240</v>
      </c>
      <c r="C24" s="169" t="s">
        <v>111</v>
      </c>
      <c r="D24" s="232"/>
      <c r="E24" s="16"/>
    </row>
    <row r="25" spans="1:7">
      <c r="A25" s="174" t="s">
        <v>78</v>
      </c>
      <c r="B25" s="38">
        <f>aantalw2001_stookolie</f>
        <v>3188</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9481</v>
      </c>
      <c r="C28" s="37"/>
      <c r="D28" s="231"/>
    </row>
    <row r="29" spans="1:7" s="16" customFormat="1">
      <c r="A29" s="233" t="s">
        <v>666</v>
      </c>
      <c r="B29" s="38">
        <f>SUM(HH_hh_gas_aantal,HH_rest_gas_aantal)</f>
        <v>5947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5947</v>
      </c>
      <c r="C32" s="170">
        <f>IF(ISERROR(B32/SUM($B$32,$B$34,$B$35,$B$36,$B$38,$B$39)*100),0,B32/SUM($B$32,$B$34,$B$35,$B$36,$B$38,$B$39)*100)</f>
        <v>62.851405622489963</v>
      </c>
      <c r="D32" s="236"/>
      <c r="G32" s="16"/>
    </row>
    <row r="33" spans="1:7">
      <c r="A33" s="174" t="s">
        <v>72</v>
      </c>
      <c r="B33" s="35" t="s">
        <v>111</v>
      </c>
      <c r="C33" s="170"/>
      <c r="D33" s="236"/>
      <c r="G33" s="16"/>
    </row>
    <row r="34" spans="1:7">
      <c r="A34" s="174" t="s">
        <v>73</v>
      </c>
      <c r="B34" s="34">
        <f>IF((($B$28-$B$32-$B$39-$B$77-$B$38)*C20/100)&lt;0,0,($B$28-$B$32-$B$39-$B$77-$B$38)*C20/100)</f>
        <v>148.77587579617835</v>
      </c>
      <c r="C34" s="170">
        <f>IF(ISERROR(B34/SUM($B$32,$B$34,$B$35,$B$36,$B$38,$B$39)*100),0,B34/SUM($B$32,$B$34,$B$35,$B$36,$B$38,$B$39)*100)</f>
        <v>1.5723512555081205</v>
      </c>
      <c r="D34" s="236"/>
      <c r="G34" s="16"/>
    </row>
    <row r="35" spans="1:7">
      <c r="A35" s="174" t="s">
        <v>74</v>
      </c>
      <c r="B35" s="34">
        <f>IF((($B$28-$B$32-$B$39-$B$77-$B$38)*C21/100)&lt;0,0,($B$28-$B$32-$B$39-$B$77-$B$38)*C21/100)</f>
        <v>2168.1604299363057</v>
      </c>
      <c r="C35" s="170">
        <f>IF(ISERROR(B35/SUM($B$32,$B$34,$B$35,$B$36,$B$38,$B$39)*100),0,B35/SUM($B$32,$B$34,$B$35,$B$36,$B$38,$B$39)*100)</f>
        <v>22.914398963605006</v>
      </c>
      <c r="D35" s="236"/>
      <c r="G35" s="16"/>
    </row>
    <row r="36" spans="1:7">
      <c r="A36" s="174" t="s">
        <v>75</v>
      </c>
      <c r="B36" s="34">
        <f>IF((($B$28-$B$32-$B$39-$B$77-$B$38)*C22/100)&lt;0,0,($B$28-$B$32-$B$39-$B$77-$B$38)*C22/100)</f>
        <v>174.56369426751593</v>
      </c>
      <c r="C36" s="170">
        <f>IF(ISERROR(B36/SUM($B$32,$B$34,$B$35,$B$36,$B$38,$B$39)*100),0,B36/SUM($B$32,$B$34,$B$35,$B$36,$B$38,$B$39)*100)</f>
        <v>1.8448921397961944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1023.5</v>
      </c>
      <c r="C39" s="170">
        <f>IF(ISERROR(B39/SUM($B$32,$B$34,$B$35,$B$36,$B$38,$B$39)*100),0,B39/SUM($B$32,$B$34,$B$35,$B$36,$B$38,$B$39)*100)</f>
        <v>10.816952018600718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5947</v>
      </c>
      <c r="C44" s="35" t="s">
        <v>111</v>
      </c>
      <c r="D44" s="177"/>
    </row>
    <row r="45" spans="1:7">
      <c r="A45" s="174" t="s">
        <v>72</v>
      </c>
      <c r="B45" s="34" t="str">
        <f t="shared" si="0"/>
        <v>-</v>
      </c>
      <c r="C45" s="35" t="s">
        <v>111</v>
      </c>
      <c r="D45" s="177"/>
    </row>
    <row r="46" spans="1:7">
      <c r="A46" s="174" t="s">
        <v>73</v>
      </c>
      <c r="B46" s="34">
        <f t="shared" si="0"/>
        <v>148.77587579617835</v>
      </c>
      <c r="C46" s="35" t="s">
        <v>111</v>
      </c>
      <c r="D46" s="177"/>
    </row>
    <row r="47" spans="1:7">
      <c r="A47" s="174" t="s">
        <v>74</v>
      </c>
      <c r="B47" s="34">
        <f t="shared" si="0"/>
        <v>2168.1604299363057</v>
      </c>
      <c r="C47" s="35" t="s">
        <v>111</v>
      </c>
      <c r="D47" s="177"/>
    </row>
    <row r="48" spans="1:7">
      <c r="A48" s="174" t="s">
        <v>75</v>
      </c>
      <c r="B48" s="34">
        <f t="shared" si="0"/>
        <v>174.56369426751593</v>
      </c>
      <c r="C48" s="34">
        <f>B48*10</f>
        <v>1745.6369426751594</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1023.5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70519.054816271935</v>
      </c>
      <c r="C5" s="18">
        <f>IF(ISERROR('Eigen informatie GS &amp; warmtenet'!B58),0,'Eigen informatie GS &amp; warmtenet'!B58)</f>
        <v>0</v>
      </c>
      <c r="D5" s="31">
        <f>SUM(D6:D12)</f>
        <v>49796.991310676873</v>
      </c>
      <c r="E5" s="18">
        <f>SUM(E6:E12)</f>
        <v>237.23911688569606</v>
      </c>
      <c r="F5" s="18">
        <f>SUM(F6:F12)</f>
        <v>19295.593456174178</v>
      </c>
      <c r="G5" s="19"/>
      <c r="H5" s="18"/>
      <c r="I5" s="18"/>
      <c r="J5" s="18">
        <f>SUM(J6:J12)</f>
        <v>0</v>
      </c>
      <c r="K5" s="18"/>
      <c r="L5" s="18"/>
      <c r="M5" s="18"/>
      <c r="N5" s="18">
        <f>SUM(N6:N12)</f>
        <v>2348.5657114545243</v>
      </c>
      <c r="O5" s="18">
        <f>B38*B39*B40</f>
        <v>0</v>
      </c>
      <c r="P5" s="18">
        <f>B46*B47*B48/1000-B46*B47*B48/1000/B49</f>
        <v>0</v>
      </c>
      <c r="R5" s="33"/>
    </row>
    <row r="6" spans="1:18">
      <c r="A6" s="33" t="s">
        <v>54</v>
      </c>
      <c r="B6" s="38">
        <f>B26</f>
        <v>14576.8793578439</v>
      </c>
      <c r="C6" s="34"/>
      <c r="D6" s="38">
        <f>IF(ISERROR(TER_kantoor_gas_kWh/1000),0,TER_kantoor_gas_kWh/1000)*0.902</f>
        <v>22040.861878927739</v>
      </c>
      <c r="E6" s="34">
        <f>$C$26*'E Balans VL '!I12/100/3.6*1000000</f>
        <v>23.923613407621158</v>
      </c>
      <c r="F6" s="34">
        <f>$C$26*('E Balans VL '!L12+'E Balans VL '!N12)/100/3.6*1000000</f>
        <v>1718.2711009436252</v>
      </c>
      <c r="G6" s="35"/>
      <c r="H6" s="34"/>
      <c r="I6" s="34"/>
      <c r="J6" s="34">
        <f>$C$26*('E Balans VL '!D12+'E Balans VL '!E12)/100/3.6*1000000</f>
        <v>0</v>
      </c>
      <c r="K6" s="34"/>
      <c r="L6" s="34"/>
      <c r="M6" s="34"/>
      <c r="N6" s="34">
        <f>$C$26*'E Balans VL '!Y12/100/3.6*1000000</f>
        <v>2.9451894470775253</v>
      </c>
      <c r="O6" s="34"/>
      <c r="P6" s="34"/>
      <c r="R6" s="33"/>
    </row>
    <row r="7" spans="1:18">
      <c r="A7" s="33" t="s">
        <v>53</v>
      </c>
      <c r="B7" s="38">
        <f t="shared" ref="B7:B12" si="0">B27</f>
        <v>1525.79005719925</v>
      </c>
      <c r="C7" s="34"/>
      <c r="D7" s="38">
        <f>IF(ISERROR(TER_horeca_gas_kWh/1000),0,TER_horeca_gas_kWh/1000)*0.902</f>
        <v>2532.9390393429999</v>
      </c>
      <c r="E7" s="34">
        <f>$C$27*'E Balans VL '!I9/100/3.6*1000000</f>
        <v>79.177463115521732</v>
      </c>
      <c r="F7" s="34">
        <f>$C$27*('E Balans VL '!L9+'E Balans VL '!N9)/100/3.6*1000000</f>
        <v>348.18639817162142</v>
      </c>
      <c r="G7" s="35"/>
      <c r="H7" s="34"/>
      <c r="I7" s="34"/>
      <c r="J7" s="34">
        <f>$C$27*('E Balans VL '!D9+'E Balans VL '!E9)/100/3.6*1000000</f>
        <v>0</v>
      </c>
      <c r="K7" s="34"/>
      <c r="L7" s="34"/>
      <c r="M7" s="34"/>
      <c r="N7" s="34">
        <f>$C$27*'E Balans VL '!Y9/100/3.6*1000000</f>
        <v>0.16112273081644177</v>
      </c>
      <c r="O7" s="34"/>
      <c r="P7" s="34"/>
      <c r="R7" s="33"/>
    </row>
    <row r="8" spans="1:18">
      <c r="A8" s="6" t="s">
        <v>52</v>
      </c>
      <c r="B8" s="38">
        <f t="shared" si="0"/>
        <v>8979.0058118033503</v>
      </c>
      <c r="C8" s="34"/>
      <c r="D8" s="38">
        <f>IF(ISERROR(TER_handel_gas_kWh/1000),0,TER_handel_gas_kWh/1000)*0.902</f>
        <v>5318.6016917160232</v>
      </c>
      <c r="E8" s="34">
        <f>$C$28*'E Balans VL '!I13/100/3.6*1000000</f>
        <v>48.353049669725166</v>
      </c>
      <c r="F8" s="34">
        <f>$C$28*('E Balans VL '!L13+'E Balans VL '!N13)/100/3.6*1000000</f>
        <v>1831.0861170467338</v>
      </c>
      <c r="G8" s="35"/>
      <c r="H8" s="34"/>
      <c r="I8" s="34"/>
      <c r="J8" s="34">
        <f>$C$28*('E Balans VL '!D13+'E Balans VL '!E13)/100/3.6*1000000</f>
        <v>0</v>
      </c>
      <c r="K8" s="34"/>
      <c r="L8" s="34"/>
      <c r="M8" s="34"/>
      <c r="N8" s="34">
        <f>$C$28*'E Balans VL '!Y13/100/3.6*1000000</f>
        <v>44.647854224980655</v>
      </c>
      <c r="O8" s="34"/>
      <c r="P8" s="34"/>
      <c r="R8" s="33"/>
    </row>
    <row r="9" spans="1:18">
      <c r="A9" s="33" t="s">
        <v>51</v>
      </c>
      <c r="B9" s="38">
        <f t="shared" si="0"/>
        <v>34901.311190292596</v>
      </c>
      <c r="C9" s="34"/>
      <c r="D9" s="38">
        <f>IF(ISERROR(TER_gezond_gas_kWh/1000),0,TER_gezond_gas_kWh/1000)*0.902</f>
        <v>3117.1018098141603</v>
      </c>
      <c r="E9" s="34">
        <f>$C$29*'E Balans VL '!I10/100/3.6*1000000</f>
        <v>34.587596285648225</v>
      </c>
      <c r="F9" s="34">
        <f>$C$29*('E Balans VL '!L10+'E Balans VL '!N10)/100/3.6*1000000</f>
        <v>12109.748991330693</v>
      </c>
      <c r="G9" s="35"/>
      <c r="H9" s="34"/>
      <c r="I9" s="34"/>
      <c r="J9" s="34">
        <f>$C$29*('E Balans VL '!D10+'E Balans VL '!E10)/100/3.6*1000000</f>
        <v>0</v>
      </c>
      <c r="K9" s="34"/>
      <c r="L9" s="34"/>
      <c r="M9" s="34"/>
      <c r="N9" s="34">
        <f>$C$29*'E Balans VL '!Y10/100/3.6*1000000</f>
        <v>300.74157504065835</v>
      </c>
      <c r="O9" s="34"/>
      <c r="P9" s="34"/>
      <c r="R9" s="33"/>
    </row>
    <row r="10" spans="1:18">
      <c r="A10" s="33" t="s">
        <v>50</v>
      </c>
      <c r="B10" s="38">
        <f t="shared" si="0"/>
        <v>3142.73104694115</v>
      </c>
      <c r="C10" s="34"/>
      <c r="D10" s="38">
        <f>IF(ISERROR(TER_ander_gas_kWh/1000),0,TER_ander_gas_kWh/1000)*0.902</f>
        <v>922.89340078955104</v>
      </c>
      <c r="E10" s="34">
        <f>$C$30*'E Balans VL '!I14/100/3.6*1000000</f>
        <v>25.710680899969354</v>
      </c>
      <c r="F10" s="34">
        <f>$C$30*('E Balans VL '!L14+'E Balans VL '!N14)/100/3.6*1000000</f>
        <v>918.80661224560083</v>
      </c>
      <c r="G10" s="35"/>
      <c r="H10" s="34"/>
      <c r="I10" s="34"/>
      <c r="J10" s="34">
        <f>$C$30*('E Balans VL '!D14+'E Balans VL '!E14)/100/3.6*1000000</f>
        <v>0</v>
      </c>
      <c r="K10" s="34"/>
      <c r="L10" s="34"/>
      <c r="M10" s="34"/>
      <c r="N10" s="34">
        <f>$C$30*'E Balans VL '!Y14/100/3.6*1000000</f>
        <v>1812.9434529294645</v>
      </c>
      <c r="O10" s="34"/>
      <c r="P10" s="34"/>
      <c r="R10" s="33"/>
    </row>
    <row r="11" spans="1:18">
      <c r="A11" s="33" t="s">
        <v>55</v>
      </c>
      <c r="B11" s="38">
        <f t="shared" si="0"/>
        <v>4784.9354379689203</v>
      </c>
      <c r="C11" s="34"/>
      <c r="D11" s="38">
        <f>IF(ISERROR(TER_onderwijs_gas_kWh/1000),0,TER_onderwijs_gas_kWh/1000)*0.902</f>
        <v>10373.695125375001</v>
      </c>
      <c r="E11" s="34">
        <f>$C$31*'E Balans VL '!I11/100/3.6*1000000</f>
        <v>2.9492323074932663</v>
      </c>
      <c r="F11" s="34">
        <f>$C$31*('E Balans VL '!L11+'E Balans VL '!N11)/100/3.6*1000000</f>
        <v>1849.9335307658953</v>
      </c>
      <c r="G11" s="35"/>
      <c r="H11" s="34"/>
      <c r="I11" s="34"/>
      <c r="J11" s="34">
        <f>$C$31*('E Balans VL '!D11+'E Balans VL '!E11)/100/3.6*1000000</f>
        <v>0</v>
      </c>
      <c r="K11" s="34"/>
      <c r="L11" s="34"/>
      <c r="M11" s="34"/>
      <c r="N11" s="34">
        <f>$C$31*'E Balans VL '!Y11/100/3.6*1000000</f>
        <v>15.564369589942094</v>
      </c>
      <c r="O11" s="34"/>
      <c r="P11" s="34"/>
      <c r="R11" s="33"/>
    </row>
    <row r="12" spans="1:18">
      <c r="A12" s="33" t="s">
        <v>260</v>
      </c>
      <c r="B12" s="38">
        <f t="shared" si="0"/>
        <v>2608.4019142227603</v>
      </c>
      <c r="C12" s="34"/>
      <c r="D12" s="38">
        <f>IF(ISERROR(TER_rest_gas_kWh/1000),0,TER_rest_gas_kWh/1000)*0.902</f>
        <v>5490.8983647113992</v>
      </c>
      <c r="E12" s="34">
        <f>$C$32*'E Balans VL '!I8/100/3.6*1000000</f>
        <v>22.53748119971716</v>
      </c>
      <c r="F12" s="34">
        <f>$C$32*('E Balans VL '!L8+'E Balans VL '!N8)/100/3.6*1000000</f>
        <v>519.56070567001143</v>
      </c>
      <c r="G12" s="35"/>
      <c r="H12" s="34"/>
      <c r="I12" s="34"/>
      <c r="J12" s="34">
        <f>$C$32*('E Balans VL '!D8+'E Balans VL '!E8)/100/3.6*1000000</f>
        <v>0</v>
      </c>
      <c r="K12" s="34"/>
      <c r="L12" s="34"/>
      <c r="M12" s="34"/>
      <c r="N12" s="34">
        <f>$C$32*'E Balans VL '!Y8/100/3.6*1000000</f>
        <v>171.56214749158482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70519.054816271935</v>
      </c>
      <c r="C16" s="22">
        <f t="shared" ca="1" si="1"/>
        <v>0</v>
      </c>
      <c r="D16" s="22">
        <f t="shared" ca="1" si="1"/>
        <v>49796.991310676873</v>
      </c>
      <c r="E16" s="22">
        <f t="shared" si="1"/>
        <v>237.23911688569606</v>
      </c>
      <c r="F16" s="22">
        <f t="shared" ca="1" si="1"/>
        <v>19295.593456174178</v>
      </c>
      <c r="G16" s="22">
        <f t="shared" si="1"/>
        <v>0</v>
      </c>
      <c r="H16" s="22">
        <f t="shared" si="1"/>
        <v>0</v>
      </c>
      <c r="I16" s="22">
        <f t="shared" si="1"/>
        <v>0</v>
      </c>
      <c r="J16" s="22">
        <f t="shared" si="1"/>
        <v>0</v>
      </c>
      <c r="K16" s="22">
        <f t="shared" si="1"/>
        <v>0</v>
      </c>
      <c r="L16" s="22">
        <f t="shared" ca="1" si="1"/>
        <v>0</v>
      </c>
      <c r="M16" s="22">
        <f t="shared" si="1"/>
        <v>0</v>
      </c>
      <c r="N16" s="22">
        <f t="shared" ca="1" si="1"/>
        <v>2348.5657114545243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0.21540089547624425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15189.867555563329</v>
      </c>
      <c r="C20" s="24">
        <f t="shared" ref="C20:P20" ca="1" si="2">C16*C18</f>
        <v>0</v>
      </c>
      <c r="D20" s="24">
        <f t="shared" ca="1" si="2"/>
        <v>10058.99224475673</v>
      </c>
      <c r="E20" s="24">
        <f t="shared" si="2"/>
        <v>53.853279533053005</v>
      </c>
      <c r="F20" s="24">
        <f t="shared" ca="1" si="2"/>
        <v>5151.9234527985054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14576.8793578439</v>
      </c>
      <c r="C26" s="40">
        <f>IF(ISERROR(B26*3.6/1000000/'E Balans VL '!Z12*100),0,B26*3.6/1000000/'E Balans VL '!Z12*100)</f>
        <v>0.30974823282147507</v>
      </c>
      <c r="D26" s="240" t="s">
        <v>707</v>
      </c>
      <c r="F26" s="6"/>
    </row>
    <row r="27" spans="1:18">
      <c r="A27" s="234" t="s">
        <v>53</v>
      </c>
      <c r="B27" s="34">
        <f>IF(ISERROR(TER_horeca_ele_kWh/1000),0,TER_horeca_ele_kWh/1000)</f>
        <v>1525.79005719925</v>
      </c>
      <c r="C27" s="40">
        <f>IF(ISERROR(B27*3.6/1000000/'E Balans VL '!Z9*100),0,B27*3.6/1000000/'E Balans VL '!Z9*100)</f>
        <v>0.12009147638492555</v>
      </c>
      <c r="D27" s="240" t="s">
        <v>707</v>
      </c>
      <c r="F27" s="6"/>
    </row>
    <row r="28" spans="1:18">
      <c r="A28" s="174" t="s">
        <v>52</v>
      </c>
      <c r="B28" s="34">
        <f>IF(ISERROR(TER_handel_ele_kWh/1000),0,TER_handel_ele_kWh/1000)</f>
        <v>8979.0058118033503</v>
      </c>
      <c r="C28" s="40">
        <f>IF(ISERROR(B28*3.6/1000000/'E Balans VL '!Z13*100),0,B28*3.6/1000000/'E Balans VL '!Z13*100)</f>
        <v>0.25150675816280754</v>
      </c>
      <c r="D28" s="240" t="s">
        <v>707</v>
      </c>
      <c r="F28" s="6"/>
    </row>
    <row r="29" spans="1:18">
      <c r="A29" s="234" t="s">
        <v>51</v>
      </c>
      <c r="B29" s="34">
        <f>IF(ISERROR(TER_gezond_ele_kWh/1000),0,TER_gezond_ele_kWh/1000)</f>
        <v>34901.311190292596</v>
      </c>
      <c r="C29" s="40">
        <f>IF(ISERROR(B29*3.6/1000000/'E Balans VL '!Z10*100),0,B29*3.6/1000000/'E Balans VL '!Z10*100)</f>
        <v>4.4649330743843061</v>
      </c>
      <c r="D29" s="240" t="s">
        <v>707</v>
      </c>
      <c r="F29" s="6"/>
    </row>
    <row r="30" spans="1:18">
      <c r="A30" s="234" t="s">
        <v>50</v>
      </c>
      <c r="B30" s="34">
        <f>IF(ISERROR(TER_ander_ele_kWh/1000),0,TER_ander_ele_kWh/1000)</f>
        <v>3142.73104694115</v>
      </c>
      <c r="C30" s="40">
        <f>IF(ISERROR(B30*3.6/1000000/'E Balans VL '!Z14*100),0,B30*3.6/1000000/'E Balans VL '!Z14*100)</f>
        <v>0.23504980119680055</v>
      </c>
      <c r="D30" s="240" t="s">
        <v>707</v>
      </c>
      <c r="F30" s="6"/>
    </row>
    <row r="31" spans="1:18">
      <c r="A31" s="234" t="s">
        <v>55</v>
      </c>
      <c r="B31" s="34">
        <f>IF(ISERROR(TER_onderwijs_ele_kWh/1000),0,TER_onderwijs_ele_kWh/1000)</f>
        <v>4784.9354379689203</v>
      </c>
      <c r="C31" s="40">
        <f>IF(ISERROR(B31*3.6/1000000/'E Balans VL '!Z11*100),0,B31*3.6/1000000/'E Balans VL '!Z11*100)</f>
        <v>1.0103453158027973</v>
      </c>
      <c r="D31" s="240" t="s">
        <v>707</v>
      </c>
    </row>
    <row r="32" spans="1:18">
      <c r="A32" s="234" t="s">
        <v>260</v>
      </c>
      <c r="B32" s="34">
        <f>IF(ISERROR(TER_rest_ele_kWh/1000),0,TER_rest_ele_kWh/1000)</f>
        <v>2608.4019142227603</v>
      </c>
      <c r="C32" s="40">
        <f>IF(ISERROR(B32*3.6/1000000/'E Balans VL '!Z8*100),0,B32*3.6/1000000/'E Balans VL '!Z8*100)</f>
        <v>2.1487837768729885E-2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29432.213527841584</v>
      </c>
      <c r="C5" s="18">
        <f>IF(ISERROR('Eigen informatie GS &amp; warmtenet'!B59),0,'Eigen informatie GS &amp; warmtenet'!B59)</f>
        <v>0</v>
      </c>
      <c r="D5" s="31">
        <f>SUM(D6:D15)</f>
        <v>13352.817844320103</v>
      </c>
      <c r="E5" s="18">
        <f>SUM(E6:E15)</f>
        <v>268.57497615434391</v>
      </c>
      <c r="F5" s="18">
        <f>SUM(F6:F15)</f>
        <v>6894.381298841271</v>
      </c>
      <c r="G5" s="19"/>
      <c r="H5" s="18"/>
      <c r="I5" s="18"/>
      <c r="J5" s="18">
        <f>SUM(J6:J15)</f>
        <v>143.22406911657015</v>
      </c>
      <c r="K5" s="18"/>
      <c r="L5" s="18"/>
      <c r="M5" s="18"/>
      <c r="N5" s="18">
        <f>SUM(N6:N15)</f>
        <v>1095.3314962892323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850.64221656772793</v>
      </c>
      <c r="C8" s="34"/>
      <c r="D8" s="38">
        <f>IF( ISERROR(IND_metaal_Gas_kWH/1000),0,IND_metaal_Gas_kWH/1000)*0.902</f>
        <v>820.62602980228257</v>
      </c>
      <c r="E8" s="34">
        <f>C30*'E Balans VL '!I18/100/3.6*1000000</f>
        <v>7.7466453700456697</v>
      </c>
      <c r="F8" s="34">
        <f>C30*'E Balans VL '!L18/100/3.6*1000000+C30*'E Balans VL '!N18/100/3.6*1000000</f>
        <v>112.19324847733863</v>
      </c>
      <c r="G8" s="35"/>
      <c r="H8" s="34"/>
      <c r="I8" s="34"/>
      <c r="J8" s="41">
        <f>C30*'E Balans VL '!D18/100/3.6*1000000+C30*'E Balans VL '!E18/100/3.6*1000000</f>
        <v>13.94929726368647</v>
      </c>
      <c r="K8" s="34"/>
      <c r="L8" s="34"/>
      <c r="M8" s="34"/>
      <c r="N8" s="34">
        <f>C30*'E Balans VL '!Y18/100/3.6*1000000</f>
        <v>2.9233193815895708</v>
      </c>
      <c r="O8" s="34"/>
      <c r="P8" s="34"/>
      <c r="R8" s="33"/>
    </row>
    <row r="9" spans="1:18">
      <c r="A9" s="6" t="s">
        <v>33</v>
      </c>
      <c r="B9" s="38">
        <f t="shared" si="0"/>
        <v>2019.1622383215599</v>
      </c>
      <c r="C9" s="34"/>
      <c r="D9" s="38">
        <f>IF( ISERROR(IND_andere_gas_kWh/1000),0,IND_andere_gas_kWh/1000)*0.902</f>
        <v>1861.0217558144734</v>
      </c>
      <c r="E9" s="34">
        <f>C31*'E Balans VL '!I19/100/3.6*1000000</f>
        <v>11.671059476337414</v>
      </c>
      <c r="F9" s="34">
        <f>C31*'E Balans VL '!L19/100/3.6*1000000+C31*'E Balans VL '!N19/100/3.6*1000000</f>
        <v>1606.3407188270155</v>
      </c>
      <c r="G9" s="35"/>
      <c r="H9" s="34"/>
      <c r="I9" s="34"/>
      <c r="J9" s="41">
        <f>C31*'E Balans VL '!D19/100/3.6*1000000+C31*'E Balans VL '!E19/100/3.6*1000000</f>
        <v>0.19099031952632861</v>
      </c>
      <c r="K9" s="34"/>
      <c r="L9" s="34"/>
      <c r="M9" s="34"/>
      <c r="N9" s="34">
        <f>C31*'E Balans VL '!Y19/100/3.6*1000000</f>
        <v>152.98209615539926</v>
      </c>
      <c r="O9" s="34"/>
      <c r="P9" s="34"/>
      <c r="R9" s="33"/>
    </row>
    <row r="10" spans="1:18">
      <c r="A10" s="6" t="s">
        <v>41</v>
      </c>
      <c r="B10" s="38">
        <f t="shared" si="0"/>
        <v>504.96205280418701</v>
      </c>
      <c r="C10" s="34"/>
      <c r="D10" s="38">
        <f>IF( ISERROR(IND_voed_gas_kWh/1000),0,IND_voed_gas_kWh/1000)*0.902</f>
        <v>309.62001089213351</v>
      </c>
      <c r="E10" s="34">
        <f>C32*'E Balans VL '!I20/100/3.6*1000000</f>
        <v>4.9650980362034796</v>
      </c>
      <c r="F10" s="34">
        <f>C32*'E Balans VL '!L20/100/3.6*1000000+C32*'E Balans VL '!N20/100/3.6*1000000</f>
        <v>56.082627054011454</v>
      </c>
      <c r="G10" s="35"/>
      <c r="H10" s="34"/>
      <c r="I10" s="34"/>
      <c r="J10" s="41">
        <f>C32*'E Balans VL '!D20/100/3.6*1000000+C32*'E Balans VL '!E20/100/3.6*1000000</f>
        <v>1.9902846890794365E-3</v>
      </c>
      <c r="K10" s="34"/>
      <c r="L10" s="34"/>
      <c r="M10" s="34"/>
      <c r="N10" s="34">
        <f>C32*'E Balans VL '!Y20/100/3.6*1000000</f>
        <v>7.477300206078942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12.3378287102292</v>
      </c>
      <c r="C12" s="34"/>
      <c r="D12" s="38">
        <f>IF( ISERROR(IND_min_gas_kWh/1000),0,IND_min_gas_kWh/1000)*0.902</f>
        <v>0</v>
      </c>
      <c r="E12" s="34">
        <f>C34*'E Balans VL '!I22/100/3.6*1000000</f>
        <v>0.3127859129097717</v>
      </c>
      <c r="F12" s="34">
        <f>C34*'E Balans VL '!L22/100/3.6*1000000+C34*'E Balans VL '!N22/100/3.6*1000000</f>
        <v>3.4139202087362075</v>
      </c>
      <c r="G12" s="35"/>
      <c r="H12" s="34"/>
      <c r="I12" s="34"/>
      <c r="J12" s="41">
        <f>C34*'E Balans VL '!D22/100/3.6*1000000+C34*'E Balans VL '!E22/100/3.6*1000000</f>
        <v>8.1481500100480414E-2</v>
      </c>
      <c r="K12" s="34"/>
      <c r="L12" s="34"/>
      <c r="M12" s="34"/>
      <c r="N12" s="34">
        <f>C34*'E Balans VL '!Y22/100/3.6*1000000</f>
        <v>0</v>
      </c>
      <c r="O12" s="34"/>
      <c r="P12" s="34"/>
      <c r="R12" s="33"/>
    </row>
    <row r="13" spans="1:18">
      <c r="A13" s="6" t="s">
        <v>39</v>
      </c>
      <c r="B13" s="38">
        <f t="shared" si="0"/>
        <v>392.65353967937904</v>
      </c>
      <c r="C13" s="34"/>
      <c r="D13" s="38">
        <f>IF( ISERROR(IND_papier_gas_kWh/1000),0,IND_papier_gas_kWh/1000)*0.902</f>
        <v>112.92739253853273</v>
      </c>
      <c r="E13" s="34">
        <f>C35*'E Balans VL '!I23/100/3.6*1000000</f>
        <v>13.374348872304815</v>
      </c>
      <c r="F13" s="34">
        <f>C35*'E Balans VL '!L23/100/3.6*1000000+C35*'E Balans VL '!N23/100/3.6*1000000</f>
        <v>64.85714937482345</v>
      </c>
      <c r="G13" s="35"/>
      <c r="H13" s="34"/>
      <c r="I13" s="34"/>
      <c r="J13" s="41">
        <f>C35*'E Balans VL '!D23/100/3.6*1000000+C35*'E Balans VL '!E23/100/3.6*1000000</f>
        <v>0</v>
      </c>
      <c r="K13" s="34"/>
      <c r="L13" s="34"/>
      <c r="M13" s="34"/>
      <c r="N13" s="34">
        <f>C35*'E Balans VL '!Y23/100/3.6*1000000</f>
        <v>144.48597245037521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25652.455651758501</v>
      </c>
      <c r="C15" s="34"/>
      <c r="D15" s="38">
        <f>IF( ISERROR(IND_rest_gas_kWh/1000),0,IND_rest_gas_kWh/1000)*0.902</f>
        <v>10248.622655272682</v>
      </c>
      <c r="E15" s="34">
        <f>C37*'E Balans VL '!I15/100/3.6*1000000</f>
        <v>230.50503848654279</v>
      </c>
      <c r="F15" s="34">
        <f>C37*'E Balans VL '!L15/100/3.6*1000000+C37*'E Balans VL '!N15/100/3.6*1000000</f>
        <v>5051.493634899346</v>
      </c>
      <c r="G15" s="35"/>
      <c r="H15" s="34"/>
      <c r="I15" s="34"/>
      <c r="J15" s="41">
        <f>C37*'E Balans VL '!D15/100/3.6*1000000+C37*'E Balans VL '!E15/100/3.6*1000000</f>
        <v>129.00030974856779</v>
      </c>
      <c r="K15" s="34"/>
      <c r="L15" s="34"/>
      <c r="M15" s="34"/>
      <c r="N15" s="34">
        <f>C37*'E Balans VL '!Y15/100/3.6*1000000</f>
        <v>787.46280809578923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29432.213527841584</v>
      </c>
      <c r="C18" s="22">
        <f>C5+C16</f>
        <v>0</v>
      </c>
      <c r="D18" s="22">
        <f>MAX((D5+D16),0)</f>
        <v>13352.817844320103</v>
      </c>
      <c r="E18" s="22">
        <f>MAX((E5+E16),0)</f>
        <v>268.57497615434391</v>
      </c>
      <c r="F18" s="22">
        <f>MAX((F5+F16),0)</f>
        <v>6894.381298841271</v>
      </c>
      <c r="G18" s="22"/>
      <c r="H18" s="22"/>
      <c r="I18" s="22"/>
      <c r="J18" s="22">
        <f>MAX((J5+J16),0)</f>
        <v>143.22406911657015</v>
      </c>
      <c r="K18" s="22"/>
      <c r="L18" s="22">
        <f>MAX((L5+L16),0)</f>
        <v>0</v>
      </c>
      <c r="M18" s="22"/>
      <c r="N18" s="22">
        <f>MAX((N5+N16),0)</f>
        <v>1095.3314962892323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0.21540089547624425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6339.725149745107</v>
      </c>
      <c r="C22" s="24">
        <f ca="1">C18*C20</f>
        <v>0</v>
      </c>
      <c r="D22" s="24">
        <f>D18*D20</f>
        <v>2697.269204552661</v>
      </c>
      <c r="E22" s="24">
        <f>E18*E20</f>
        <v>60.966519587036068</v>
      </c>
      <c r="F22" s="24">
        <f>F18*F20</f>
        <v>1840.7998067906194</v>
      </c>
      <c r="G22" s="24"/>
      <c r="H22" s="24"/>
      <c r="I22" s="24"/>
      <c r="J22" s="24">
        <f>J18*J20</f>
        <v>50.70132046726583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850.64221656772793</v>
      </c>
      <c r="C30" s="40">
        <f>IF(ISERROR(B30*3.6/1000000/'E Balans VL '!Z18*100),0,B30*3.6/1000000/'E Balans VL '!Z18*100)</f>
        <v>4.7332551156295102E-2</v>
      </c>
      <c r="D30" s="240" t="s">
        <v>707</v>
      </c>
    </row>
    <row r="31" spans="1:18">
      <c r="A31" s="6" t="s">
        <v>33</v>
      </c>
      <c r="B31" s="38">
        <f>IF( ISERROR(IND_ander_ele_kWh/1000),0,IND_ander_ele_kWh/1000)</f>
        <v>2019.1622383215599</v>
      </c>
      <c r="C31" s="40">
        <f>IF(ISERROR(B31*3.6/1000000/'E Balans VL '!Z19*100),0,B31*3.6/1000000/'E Balans VL '!Z19*100)</f>
        <v>9.3865549528298023E-2</v>
      </c>
      <c r="D31" s="240" t="s">
        <v>707</v>
      </c>
    </row>
    <row r="32" spans="1:18">
      <c r="A32" s="174" t="s">
        <v>41</v>
      </c>
      <c r="B32" s="38">
        <f>IF( ISERROR(IND_voed_ele_kWh/1000),0,IND_voed_ele_kWh/1000)</f>
        <v>504.96205280418701</v>
      </c>
      <c r="C32" s="40">
        <f>IF(ISERROR(B32*3.6/1000000/'E Balans VL '!Z20*100),0,B32*3.6/1000000/'E Balans VL '!Z20*100)</f>
        <v>1.78493887525728E-2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12.3378287102292</v>
      </c>
      <c r="C34" s="40">
        <f>IF(ISERROR(B34*3.6/1000000/'E Balans VL '!Z22*100),0,B34*3.6/1000000/'E Balans VL '!Z22*100)</f>
        <v>2.4795556557404364E-3</v>
      </c>
      <c r="D34" s="240" t="s">
        <v>707</v>
      </c>
    </row>
    <row r="35" spans="1:5">
      <c r="A35" s="174" t="s">
        <v>39</v>
      </c>
      <c r="B35" s="38">
        <f>IF( ISERROR(IND_papier_ele_kWh/1000),0,IND_papier_ele_kWh/1000)</f>
        <v>392.65353967937904</v>
      </c>
      <c r="C35" s="40">
        <f>IF(ISERROR(B35*3.6/1000000/'E Balans VL '!Z22*100),0,B35*3.6/1000000/'E Balans VL '!Z22*100)</f>
        <v>7.8912289019809193E-2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25652.455651758501</v>
      </c>
      <c r="C37" s="40">
        <f>IF(ISERROR(B37*3.6/1000000/'E Balans VL '!Z15*100),0,B37*3.6/1000000/'E Balans VL '!Z15*100)</f>
        <v>0.19371393457797589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2470.5409279138603</v>
      </c>
      <c r="C5" s="18">
        <f>'Eigen informatie GS &amp; warmtenet'!B60</f>
        <v>0</v>
      </c>
      <c r="D5" s="31">
        <f>IF(ISERROR(SUM(LB_lb_gas_kWh,LB_rest_gas_kWh,onbekend_gas_kWh)/1000),0,SUM(LB_lb_gas_kWh,LB_rest_gas_kWh,onbekend_gas_kWh)/1000)*0.902</f>
        <v>14672.223963090639</v>
      </c>
      <c r="E5" s="18">
        <f>B17*'E Balans VL '!I25/3.6*1000000/100</f>
        <v>23.274150857669785</v>
      </c>
      <c r="F5" s="18">
        <f>B17*('E Balans VL '!L25/3.6*1000000+'E Balans VL '!N25/3.6*1000000)/100</f>
        <v>8062.1949483105618</v>
      </c>
      <c r="G5" s="19"/>
      <c r="H5" s="18"/>
      <c r="I5" s="18"/>
      <c r="J5" s="18">
        <f>('E Balans VL '!D25+'E Balans VL '!E25)/3.6*1000000*landbouw!B17/100</f>
        <v>305.61792949170962</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2470.5409279138603</v>
      </c>
      <c r="C8" s="22">
        <f>C5+C6</f>
        <v>0</v>
      </c>
      <c r="D8" s="22">
        <f>MAX((D5+D6),0)</f>
        <v>14672.223963090639</v>
      </c>
      <c r="E8" s="22">
        <f>MAX((E5+E6),0)</f>
        <v>23.274150857669785</v>
      </c>
      <c r="F8" s="22">
        <f>MAX((F5+F6),0)</f>
        <v>8062.1949483105618</v>
      </c>
      <c r="G8" s="22"/>
      <c r="H8" s="22"/>
      <c r="I8" s="22"/>
      <c r="J8" s="22">
        <f>MAX((J5+J6),0)</f>
        <v>305.61792949170962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0.21540089547624425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532.1567281833569</v>
      </c>
      <c r="C12" s="24">
        <f ca="1">C8*C10</f>
        <v>0</v>
      </c>
      <c r="D12" s="24">
        <f>D8*D10</f>
        <v>2963.7892405443095</v>
      </c>
      <c r="E12" s="24">
        <f>E8*E10</f>
        <v>5.2832322446910416</v>
      </c>
      <c r="F12" s="24">
        <f>F8*F10</f>
        <v>2152.6060511989203</v>
      </c>
      <c r="G12" s="24"/>
      <c r="H12" s="24"/>
      <c r="I12" s="24"/>
      <c r="J12" s="24">
        <f>J8*J10</f>
        <v>108.18874704006519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0.33447176365750009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113.49351428912438</v>
      </c>
      <c r="C26" s="250">
        <f>B26*'GWP N2O_CH4'!B5</f>
        <v>2383.3638000716119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17.415205249229384</v>
      </c>
      <c r="C27" s="250">
        <f>B27*'GWP N2O_CH4'!B5</f>
        <v>365.71931023381705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1.5708495415896946</v>
      </c>
      <c r="C28" s="250">
        <f>B28*'GWP N2O_CH4'!B4</f>
        <v>486.96335789280533</v>
      </c>
      <c r="D28" s="51"/>
    </row>
    <row r="29" spans="1:4">
      <c r="A29" s="42" t="s">
        <v>277</v>
      </c>
      <c r="B29" s="250">
        <f>B34*'ha_N2O bodem landbouw'!B4</f>
        <v>7.5174422961934564</v>
      </c>
      <c r="C29" s="250">
        <f>B29*'GWP N2O_CH4'!B4</f>
        <v>2330.4071118199713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2.0294727688828073E-3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1.8764062979206843E-5</v>
      </c>
      <c r="C5" s="447" t="s">
        <v>211</v>
      </c>
      <c r="D5" s="432">
        <f>SUM(D6:D11)</f>
        <v>5.5220664102031508E-5</v>
      </c>
      <c r="E5" s="432">
        <f>SUM(E6:E11)</f>
        <v>3.4958495554329597E-3</v>
      </c>
      <c r="F5" s="445" t="s">
        <v>211</v>
      </c>
      <c r="G5" s="432">
        <f>SUM(G6:G11)</f>
        <v>0.68180090061359266</v>
      </c>
      <c r="H5" s="432">
        <f>SUM(H6:H11)</f>
        <v>0.12493422391064905</v>
      </c>
      <c r="I5" s="447" t="s">
        <v>211</v>
      </c>
      <c r="J5" s="447" t="s">
        <v>211</v>
      </c>
      <c r="K5" s="447" t="s">
        <v>211</v>
      </c>
      <c r="L5" s="447" t="s">
        <v>211</v>
      </c>
      <c r="M5" s="432">
        <f>SUM(M6:M11)</f>
        <v>3.6075689989067808E-2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5.8253680881718346E-6</v>
      </c>
      <c r="C6" s="433"/>
      <c r="D6" s="433">
        <f>vkm_2011_GW_PW*SUMIFS(TableVerdeelsleutelVkm[CNG],TableVerdeelsleutelVkm[Voertuigtype],"Lichte voertuigen")*SUMIFS(TableECFTransport[EnergieConsumptieFactor (PJ per km)],TableECFTransport[Index],CONCATENATE($A6,"_CNG_CNG"))</f>
        <v>1.4225646429375091E-5</v>
      </c>
      <c r="E6" s="435">
        <f>vkm_2011_GW_PW*SUMIFS(TableVerdeelsleutelVkm[LPG],TableVerdeelsleutelVkm[Voertuigtype],"Lichte voertuigen")*SUMIFS(TableECFTransport[EnergieConsumptieFactor (PJ per km)],TableECFTransport[Index],CONCATENATE($A6,"_LPG_LPG"))</f>
        <v>8.4322280416965841E-4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0.12189777557427041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3.1945904919796E-2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6.8894033330391107E-3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5.6139734475782695E-2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2.2650194156700769E-5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2.5010078013838937E-3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4.473811670409086E-6</v>
      </c>
      <c r="C8" s="433"/>
      <c r="D8" s="435">
        <f>vkm_2011_NGW_PW*SUMIFS(TableVerdeelsleutelVkm[CNG],TableVerdeelsleutelVkm[Voertuigtype],"Lichte voertuigen")*SUMIFS(TableECFTransport[EnergieConsumptieFactor (PJ per km)],TableECFTransport[Index],CONCATENATE($A8,"_CNG_CNG"))</f>
        <v>1.9601526892796365E-5</v>
      </c>
      <c r="E8" s="435">
        <f>vkm_2011_NGW_PW*SUMIFS(TableVerdeelsleutelVkm[LPG],TableVerdeelsleutelVkm[Voertuigtype],"Lichte voertuigen")*SUMIFS(TableECFTransport[EnergieConsumptieFactor (PJ per km)],TableECFTransport[Index],CONCATENATE($A8,"_LPG_LPG"))</f>
        <v>1.0659058324169175E-3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0.14556577479550847</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4.2151781743460855E-2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8.4101659033213767E-3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4.6920542285177474E-2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1.6482798379778002E-5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2.09018368349004E-3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8.4648832206259241E-6</v>
      </c>
      <c r="C10" s="433"/>
      <c r="D10" s="435">
        <f>vkm_2011_SW_PW*SUMIFS(TableVerdeelsleutelVkm[CNG],TableVerdeelsleutelVkm[Voertuigtype],"Lichte voertuigen")*SUMIFS(TableECFTransport[EnergieConsumptieFactor (PJ per km)],TableECFTransport[Index],CONCATENATE($A10,"_CNG_CNG"))</f>
        <v>2.1393490779860057E-5</v>
      </c>
      <c r="E10" s="435">
        <f>vkm_2011_SW_PW*SUMIFS(TableVerdeelsleutelVkm[LPG],TableVerdeelsleutelVkm[Voertuigtype],"Lichte voertuigen")*SUMIFS(TableECFTransport[EnergieConsumptieFactor (PJ per km)],TableECFTransport[Index],CONCATENATE($A10,"_LPG_LPG"))</f>
        <v>1.586720918846384E-3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0.20904160647492051</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5.0753642220620197E-2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1.1630255858092974E-2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0.10223546700793308</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4.3762034235522734E-5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4.5546734097404069E-3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5.2122397164463452</v>
      </c>
      <c r="C14" s="22"/>
      <c r="D14" s="22">
        <f t="shared" ref="D14:M14" si="0">((D5)*10^9/3600)+D12</f>
        <v>15.339073361675419</v>
      </c>
      <c r="E14" s="22">
        <f t="shared" si="0"/>
        <v>971.06932095360003</v>
      </c>
      <c r="F14" s="22"/>
      <c r="G14" s="22">
        <f t="shared" si="0"/>
        <v>189389.1390593313</v>
      </c>
      <c r="H14" s="22">
        <f t="shared" si="0"/>
        <v>34703.951086291403</v>
      </c>
      <c r="I14" s="22"/>
      <c r="J14" s="22"/>
      <c r="K14" s="22"/>
      <c r="L14" s="22"/>
      <c r="M14" s="22">
        <f t="shared" si="0"/>
        <v>10021.024996963281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0.21540089547624425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1.1227211023593882</v>
      </c>
      <c r="C18" s="24"/>
      <c r="D18" s="24">
        <f t="shared" ref="D18:M18" si="1">D14*D16</f>
        <v>3.0984928190584351</v>
      </c>
      <c r="E18" s="24">
        <f t="shared" si="1"/>
        <v>220.43273585646722</v>
      </c>
      <c r="F18" s="24"/>
      <c r="G18" s="24">
        <f t="shared" si="1"/>
        <v>50566.900128841458</v>
      </c>
      <c r="H18" s="24">
        <f t="shared" si="1"/>
        <v>8641.2838204865602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1.208931923732268E-2</v>
      </c>
      <c r="H50" s="323">
        <f t="shared" si="2"/>
        <v>0</v>
      </c>
      <c r="I50" s="323">
        <f t="shared" si="2"/>
        <v>0</v>
      </c>
      <c r="J50" s="323">
        <f t="shared" si="2"/>
        <v>0</v>
      </c>
      <c r="K50" s="323">
        <f t="shared" si="2"/>
        <v>0</v>
      </c>
      <c r="L50" s="323">
        <f t="shared" si="2"/>
        <v>0</v>
      </c>
      <c r="M50" s="323">
        <f t="shared" si="2"/>
        <v>5.3086195029035095E-4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1.208931923732268E-2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5.3086195029035095E-4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3358.1442325896337</v>
      </c>
      <c r="H54" s="22">
        <f t="shared" si="3"/>
        <v>0</v>
      </c>
      <c r="I54" s="22">
        <f t="shared" si="3"/>
        <v>0</v>
      </c>
      <c r="J54" s="22">
        <f t="shared" si="3"/>
        <v>0</v>
      </c>
      <c r="K54" s="22">
        <f t="shared" si="3"/>
        <v>0</v>
      </c>
      <c r="L54" s="22">
        <f t="shared" si="3"/>
        <v>0</v>
      </c>
      <c r="M54" s="22">
        <f t="shared" si="3"/>
        <v>147.46165285843082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0.21540089547624425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896.62451010143229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3870.3076555389521</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3870.3076555389521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2018-12-05T16:07:51Z</dcterms:modified>
</cp:coreProperties>
</file>