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H8" s="1"/>
  <c r="V88"/>
  <c r="J8" s="1"/>
  <c r="U88"/>
  <c r="I8" s="1"/>
  <c r="J68" i="14" s="1"/>
  <c r="T88" i="18"/>
  <c r="S88"/>
  <c r="E8" s="1"/>
  <c r="F68" i="14" s="1"/>
  <c r="R88" i="18"/>
  <c r="Q88"/>
  <c r="P88"/>
  <c r="O88"/>
  <c r="N88"/>
  <c r="M88"/>
  <c r="W60"/>
  <c r="V60"/>
  <c r="U60"/>
  <c r="T60"/>
  <c r="S60"/>
  <c r="R60"/>
  <c r="Q60"/>
  <c r="P60"/>
  <c r="D6" i="17" s="1"/>
  <c r="O60" i="18"/>
  <c r="N60"/>
  <c r="M60"/>
  <c r="W59"/>
  <c r="V59"/>
  <c r="U59"/>
  <c r="T59"/>
  <c r="S59"/>
  <c r="R59"/>
  <c r="Q59"/>
  <c r="P59"/>
  <c r="O59"/>
  <c r="N59"/>
  <c r="M59"/>
  <c r="W58"/>
  <c r="V58"/>
  <c r="U58"/>
  <c r="T58"/>
  <c r="S58"/>
  <c r="R58"/>
  <c r="Q58"/>
  <c r="P58"/>
  <c r="D16" i="16" s="1"/>
  <c r="O58" i="1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B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80" i="14"/>
  <c r="M79"/>
  <c r="I79"/>
  <c r="E79"/>
  <c r="M78"/>
  <c r="L78"/>
  <c r="H78"/>
  <c r="G78"/>
  <c r="E78"/>
  <c r="L68"/>
  <c r="D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B13" i="15" l="1"/>
  <c r="F6" i="17"/>
  <c r="F16" i="16"/>
  <c r="C13" i="15"/>
  <c r="C16" s="1"/>
  <c r="D10" i="14" s="1"/>
  <c r="B16" i="16"/>
  <c r="D8" i="17"/>
  <c r="D7" i="48" s="1"/>
  <c r="D24" s="1"/>
  <c r="K19" i="18"/>
  <c r="G9" i="14"/>
  <c r="L9"/>
  <c r="L15" s="1"/>
  <c r="H68"/>
  <c r="H69" s="1"/>
  <c r="K19" i="19"/>
  <c r="L35" i="14" s="1"/>
  <c r="C18" i="16"/>
  <c r="C8" i="48" s="1"/>
  <c r="E8" i="16"/>
  <c r="J15"/>
  <c r="G19" i="18"/>
  <c r="B97"/>
  <c r="H101" s="1"/>
  <c r="M9" i="14"/>
  <c r="B12" i="48"/>
  <c r="Q12" s="1"/>
  <c r="F11" i="15"/>
  <c r="N16" i="16"/>
  <c r="D12" i="22"/>
  <c r="E17" i="14"/>
  <c r="D13" i="48"/>
  <c r="D30" s="1"/>
  <c r="D31" i="20"/>
  <c r="E43" i="14" s="1"/>
  <c r="E12" i="22"/>
  <c r="F17" i="14"/>
  <c r="E13" i="48"/>
  <c r="I101" i="18"/>
  <c r="H16" s="1"/>
  <c r="I78" i="14" s="1"/>
  <c r="G101" i="18"/>
  <c r="C101"/>
  <c r="I11" i="48"/>
  <c r="N19" i="19"/>
  <c r="O35" i="14" s="1"/>
  <c r="B6" i="48"/>
  <c r="Q6" s="1"/>
  <c r="B8" i="9"/>
  <c r="P18" i="16"/>
  <c r="P8" i="48" s="1"/>
  <c r="P25" s="1"/>
  <c r="F8" i="17"/>
  <c r="G22" i="14" s="1"/>
  <c r="J8" i="17"/>
  <c r="J12" s="1"/>
  <c r="K48" i="14" s="1"/>
  <c r="O80"/>
  <c r="C97" i="18"/>
  <c r="I19" i="19"/>
  <c r="J35" i="14" s="1"/>
  <c r="B12" i="22"/>
  <c r="B13" i="48"/>
  <c r="C17" i="14"/>
  <c r="E31" i="20"/>
  <c r="F43" i="14" s="1"/>
  <c r="L16" i="16"/>
  <c r="L18" s="1"/>
  <c r="N6" i="17"/>
  <c r="N5" s="1"/>
  <c r="J9" i="14"/>
  <c r="B81"/>
  <c r="D11" i="48"/>
  <c r="D14" i="15"/>
  <c r="F19" i="19"/>
  <c r="G35" i="14" s="1"/>
  <c r="L19" i="19"/>
  <c r="M35" i="14" s="1"/>
  <c r="E7" i="15"/>
  <c r="O5" i="16"/>
  <c r="O9" i="14"/>
  <c r="L11" i="48"/>
  <c r="L28" s="1"/>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J15"/>
  <c r="H15"/>
  <c r="Q46"/>
  <c r="O20"/>
  <c r="M20"/>
  <c r="L69"/>
  <c r="D5" i="15"/>
  <c r="B8"/>
  <c r="J8"/>
  <c r="F12"/>
  <c r="I20"/>
  <c r="J36" i="14"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I28"/>
  <c r="C22" i="13"/>
  <c r="C21"/>
  <c r="C20"/>
  <c r="H25" i="48"/>
  <c r="F28"/>
  <c r="J28"/>
  <c r="N28"/>
  <c r="O24"/>
  <c r="I25"/>
  <c r="P11" i="14"/>
  <c r="O12" i="13"/>
  <c r="P37" i="14" s="1"/>
  <c r="B10" i="48"/>
  <c r="C18" i="14"/>
  <c r="B50" i="13"/>
  <c r="P24" i="48"/>
  <c r="E5" i="17"/>
  <c r="C8"/>
  <c r="G24" i="48"/>
  <c r="I24"/>
  <c r="G81" i="14"/>
  <c r="D79"/>
  <c r="H79"/>
  <c r="H81" s="1"/>
  <c r="L79"/>
  <c r="L81" s="1"/>
  <c r="F79"/>
  <c r="J79"/>
  <c r="E68"/>
  <c r="E69" s="1"/>
  <c r="I68"/>
  <c r="M68"/>
  <c r="M69" s="1"/>
  <c r="D19" i="18"/>
  <c r="L19"/>
  <c r="B68" i="14"/>
  <c r="C68" s="1"/>
  <c r="G68"/>
  <c r="G69" s="1"/>
  <c r="K68"/>
  <c r="E81"/>
  <c r="I81"/>
  <c r="M81"/>
  <c r="B19" i="18"/>
  <c r="F19"/>
  <c r="D11" i="14"/>
  <c r="C4" i="48"/>
  <c r="M8" i="18"/>
  <c r="M17"/>
  <c r="M18"/>
  <c r="D13" i="14"/>
  <c r="F12" i="17" l="1"/>
  <c r="G48" i="14" s="1"/>
  <c r="J41"/>
  <c r="D12" i="17"/>
  <c r="E48" i="14" s="1"/>
  <c r="E22"/>
  <c r="F7" i="48"/>
  <c r="F24" s="1"/>
  <c r="E101" i="18"/>
  <c r="E16" s="1"/>
  <c r="F78" i="14" s="1"/>
  <c r="F81" s="1"/>
  <c r="K22"/>
  <c r="P22" i="16"/>
  <c r="Q39" i="14" s="1"/>
  <c r="H19" i="18"/>
  <c r="J7" i="48"/>
  <c r="J24" s="1"/>
  <c r="B101" i="18"/>
  <c r="C16" s="1"/>
  <c r="D101"/>
  <c r="J16" s="1"/>
  <c r="L5" i="17"/>
  <c r="L8" s="1"/>
  <c r="F101" i="18"/>
  <c r="I16" s="1"/>
  <c r="D18" i="16"/>
  <c r="D22" s="1"/>
  <c r="E39" i="14" s="1"/>
  <c r="L21" i="48"/>
  <c r="B14" i="22"/>
  <c r="B9" i="48" s="1"/>
  <c r="I17" i="14"/>
  <c r="H12" i="22"/>
  <c r="D16" i="15"/>
  <c r="D20" s="1"/>
  <c r="B35" i="13"/>
  <c r="N8" i="17"/>
  <c r="I100" i="18"/>
  <c r="H7" s="1"/>
  <c r="E100"/>
  <c r="E7" s="1"/>
  <c r="H100"/>
  <c r="D100"/>
  <c r="G100"/>
  <c r="I7" s="1"/>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B46" i="13"/>
  <c r="E5" s="1"/>
  <c r="E8" s="1"/>
  <c r="E12" s="1"/>
  <c r="F37" i="14" s="1"/>
  <c r="K31" i="48"/>
  <c r="B48" i="13"/>
  <c r="C48" s="1"/>
  <c r="N5" s="1"/>
  <c r="N8" s="1"/>
  <c r="N4" i="48" s="1"/>
  <c r="N21" s="1"/>
  <c r="M25"/>
  <c r="M24"/>
  <c r="I31"/>
  <c r="C50" i="13"/>
  <c r="J5" s="1"/>
  <c r="J8" s="1"/>
  <c r="E7" i="48"/>
  <c r="E24" s="1"/>
  <c r="E12" i="17"/>
  <c r="F48" i="14" s="1"/>
  <c r="C5" i="48"/>
  <c r="C14" s="1"/>
  <c r="H14" i="22" l="1"/>
  <c r="H9" i="48" s="1"/>
  <c r="E13" i="14"/>
  <c r="D18" i="22"/>
  <c r="E45" i="14" s="1"/>
  <c r="E46" s="1"/>
  <c r="E19" i="18"/>
  <c r="L7" i="48"/>
  <c r="L24" s="1"/>
  <c r="L12" i="17"/>
  <c r="M48" i="14" s="1"/>
  <c r="M22"/>
  <c r="R17"/>
  <c r="F19"/>
  <c r="F20" s="1"/>
  <c r="D78"/>
  <c r="C19" i="18"/>
  <c r="J78" i="14"/>
  <c r="J81" s="1"/>
  <c r="I19" i="18"/>
  <c r="E18" i="22"/>
  <c r="F45" i="14" s="1"/>
  <c r="F46" s="1"/>
  <c r="G14" i="22"/>
  <c r="D9" i="48"/>
  <c r="D26" s="1"/>
  <c r="D8"/>
  <c r="D25" s="1"/>
  <c r="E10" i="14"/>
  <c r="E15" s="1"/>
  <c r="E23" s="1"/>
  <c r="D5" i="48"/>
  <c r="D22" s="1"/>
  <c r="J16" i="15"/>
  <c r="K10" i="14" s="1"/>
  <c r="C9" i="18"/>
  <c r="M7"/>
  <c r="M9" s="1"/>
  <c r="D67" i="14"/>
  <c r="N7" i="48"/>
  <c r="N24" s="1"/>
  <c r="N12" i="17"/>
  <c r="O48" i="14" s="1"/>
  <c r="K78"/>
  <c r="M16" i="18"/>
  <c r="M19" s="1"/>
  <c r="J19"/>
  <c r="O22" i="14"/>
  <c r="O8" i="48"/>
  <c r="O25" s="1"/>
  <c r="P13" i="14"/>
  <c r="P15" s="1"/>
  <c r="P23" s="1"/>
  <c r="K67"/>
  <c r="K69" s="1"/>
  <c r="J9" i="18"/>
  <c r="F67" i="14"/>
  <c r="F69" s="1"/>
  <c r="E9" i="18"/>
  <c r="E16" i="15"/>
  <c r="F10" i="14" s="1"/>
  <c r="O22" i="16"/>
  <c r="P39" i="14" s="1"/>
  <c r="P41" s="1"/>
  <c r="P53" s="1"/>
  <c r="J67"/>
  <c r="I9" i="18"/>
  <c r="I67" i="14"/>
  <c r="I69" s="1"/>
  <c r="H9" i="18"/>
  <c r="Q13" i="48"/>
  <c r="G18" i="22"/>
  <c r="H45" i="14" s="1"/>
  <c r="G58" i="22"/>
  <c r="H44" i="14" s="1"/>
  <c r="M58" i="22"/>
  <c r="N44" i="14" s="1"/>
  <c r="G10" i="48"/>
  <c r="G27" s="1"/>
  <c r="N18" i="14"/>
  <c r="R18" s="1"/>
  <c r="M18" i="22"/>
  <c r="N45" i="14" s="1"/>
  <c r="N46" s="1"/>
  <c r="N5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H18" i="22" l="1"/>
  <c r="I45" i="14" s="1"/>
  <c r="I46" s="1"/>
  <c r="I53" s="1"/>
  <c r="I19"/>
  <c r="I20" s="1"/>
  <c r="I23" s="1"/>
  <c r="R22"/>
  <c r="P55"/>
  <c r="Q7" i="48"/>
  <c r="D31"/>
  <c r="J20" i="15"/>
  <c r="K36" i="14" s="1"/>
  <c r="O78"/>
  <c r="O81" s="1"/>
  <c r="B17" i="6" s="1"/>
  <c r="B22"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E55" s="1"/>
  <c r="M36"/>
  <c r="M41" s="1"/>
  <c r="L14" i="48"/>
  <c r="M23" i="14"/>
  <c r="Q5" i="48"/>
  <c r="O13" i="14"/>
  <c r="O15" s="1"/>
  <c r="Q4" i="48"/>
  <c r="N22"/>
  <c r="R11" i="14"/>
  <c r="J21" i="48"/>
  <c r="J14"/>
  <c r="R10" i="14"/>
  <c r="C17" i="49" l="1"/>
  <c r="C29" i="20"/>
  <c r="C10" i="13"/>
  <c r="C16" i="48" s="1"/>
  <c r="C25" s="1"/>
  <c r="C10" i="17"/>
  <c r="C12" s="1"/>
  <c r="D48" i="14" s="1"/>
  <c r="C56" i="22"/>
  <c r="C58" s="1"/>
  <c r="D44" i="14" s="1"/>
  <c r="D46" s="1"/>
  <c r="C17" i="19"/>
  <c r="C19" s="1"/>
  <c r="D35" i="14" s="1"/>
  <c r="C20" i="16"/>
  <c r="C22" s="1"/>
  <c r="D39" i="14" s="1"/>
  <c r="C18" i="15"/>
  <c r="C20" s="1"/>
  <c r="D36" i="14" s="1"/>
  <c r="C16" i="22"/>
  <c r="F22" i="16"/>
  <c r="G39" i="14" s="1"/>
  <c r="G41" s="1"/>
  <c r="G53" s="1"/>
  <c r="G55" s="1"/>
  <c r="O69" s="1"/>
  <c r="B9" i="6" s="1"/>
  <c r="B12" s="1"/>
  <c r="N22" i="16"/>
  <c r="O39" i="14" s="1"/>
  <c r="O41" s="1"/>
  <c r="F8" i="48"/>
  <c r="Q9"/>
  <c r="K13" i="14"/>
  <c r="K15" s="1"/>
  <c r="K23" s="1"/>
  <c r="J31" i="48"/>
  <c r="E25"/>
  <c r="E31" s="1"/>
  <c r="E14"/>
  <c r="N25"/>
  <c r="N31" s="1"/>
  <c r="N14"/>
  <c r="E22" i="16"/>
  <c r="F39" i="14" s="1"/>
  <c r="F41" s="1"/>
  <c r="F53" s="1"/>
  <c r="J22" i="16"/>
  <c r="K39" i="14" s="1"/>
  <c r="K41" s="1"/>
  <c r="K53" s="1"/>
  <c r="Q8" i="48"/>
  <c r="F13" i="14"/>
  <c r="F15" s="1"/>
  <c r="F23" s="1"/>
  <c r="G14" i="48"/>
  <c r="H55" i="14"/>
  <c r="M14" i="48"/>
  <c r="R19" i="14"/>
  <c r="R20" s="1"/>
  <c r="M26" i="48"/>
  <c r="M31" s="1"/>
  <c r="O53" i="14"/>
  <c r="M53"/>
  <c r="M55" s="1"/>
  <c r="C12" i="13"/>
  <c r="D37" i="14" s="1"/>
  <c r="D41" s="1"/>
  <c r="C24" i="48"/>
  <c r="C28"/>
  <c r="C21"/>
  <c r="F25"/>
  <c r="F31" s="1"/>
  <c r="F14"/>
  <c r="Q14"/>
  <c r="C22" l="1"/>
  <c r="K55" i="14"/>
  <c r="R13"/>
  <c r="R15"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<sst xmlns="http://schemas.openxmlformats.org/spreadsheetml/2006/main" count="2259" uniqueCount="942">
  <si>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</si>
  <si>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</si>
  <si>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</si>
  <si>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</si>
  <si>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</si>
  <si>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</si>
  <si>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</si>
  <si>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</si>
  <si>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</si>
  <si>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</si>
  <si>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</si>
  <si>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</si>
  <si>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</si>
  <si>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</si>
  <si>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</si>
  <si>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</si>
  <si>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</si>
  <si>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</si>
  <si>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</si>
  <si>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</si>
  <si>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</si>
  <si>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</si>
  <si>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</si>
  <si>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</si>
  <si>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</si>
  <si>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</si>
  <si>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</si>
  <si>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</si>
  <si>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</si>
  <si>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</si>
  <si>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</si>
  <si>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</si>
  <si>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</si>
  <si>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</si>
  <si>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</si>
  <si>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</si>
  <si>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</si>
  <si>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</si>
  <si>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</si>
  <si>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</si>
  <si>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</si>
  <si>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</si>
  <si>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</si>
  <si>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</si>
  <si>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</si>
  <si>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</si>
  <si>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</si>
  <si>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</si>
  <si>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</si>
  <si>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</si>
  <si>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</si>
  <si>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</si>
  <si>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</si>
  <si>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</si>
  <si>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</si>
  <si>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</si>
  <si>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</si>
  <si>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</si>
  <si>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</si>
  <si>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</si>
  <si>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</si>
  <si>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</si>
  <si>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</si>
  <si>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</si>
  <si>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</si>
  <si>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</si>
  <si>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</si>
  <si>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</si>
  <si>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</si>
  <si>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</si>
  <si>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</si>
  <si>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</si>
  <si>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</si>
  <si>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</si>
  <si>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</si>
  <si>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</si>
  <si>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</si>
  <si>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</si>
  <si>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</si>
  <si>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</si>
  <si>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</si>
  <si>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</si>
  <si>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</si>
  <si>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</si>
  <si>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</si>
  <si>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</si>
  <si>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</si>
  <si>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</si>
  <si>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</si>
  <si>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</si>
  <si>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</si>
  <si>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</si>
  <si>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</si>
  <si>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</si>
  <si>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</si>
  <si>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</si>
  <si>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</si>
  <si>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</si>
  <si>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</si>
  <si>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</si>
  <si>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</si>
  <si>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</si>
  <si>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</si>
  <si>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</si>
  <si>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</si>
  <si>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</si>
  <si>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</si>
  <si>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</si>
  <si>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</si>
  <si>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</si>
  <si>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</si>
  <si>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</si>
  <si>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</si>
  <si>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</si>
  <si>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</si>
  <si>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</si>
  <si>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</si>
  <si>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</si>
  <si>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</si>
  <si>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</si>
  <si>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</si>
  <si>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</si>
  <si>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</si>
  <si>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</si>
  <si>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</si>
  <si>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</si>
  <si>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</si>
  <si>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</si>
  <si>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</si>
  <si>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</si>
  <si>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</si>
  <si>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</si>
  <si>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</si>
  <si>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</si>
  <si>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</si>
  <si>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</si>
  <si>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</si>
  <si>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</si>
  <si>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</si>
  <si>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</si>
  <si>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</si>
  <si>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</si>
  <si>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</si>
  <si>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</si>
  <si>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</si>
  <si>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</si>
  <si>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</si>
  <si>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</si>
  <si>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</si>
  <si>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</si>
  <si>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</si>
  <si>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</si>
  <si>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</si>
  <si>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</si>
  <si>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</si>
  <si>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</si>
  <si>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</si>
  <si>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</si>
  <si>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</si>
  <si>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</si>
  <si>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</si>
  <si>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</si>
  <si>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</si>
  <si>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</si>
  <si>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</si>
  <si>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</si>
  <si>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</si>
  <si>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</si>
  <si>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</si>
  <si>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</si>
  <si>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</si>
  <si>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</si>
  <si>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</si>
  <si>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</si>
  <si>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</si>
  <si>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</si>
  <si>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</si>
  <si>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</si>
  <si>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</si>
  <si>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</si>
  <si>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</si>
  <si>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</si>
  <si>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</si>
  <si>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</si>
  <si>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</si>
  <si>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</si>
  <si>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</si>
  <si>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</si>
  <si>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</si>
  <si>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</si>
  <si>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</si>
  <si>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</si>
  <si>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</si>
  <si>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</si>
  <si>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</si>
  <si>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</si>
  <si>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</si>
  <si>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</si>
  <si>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</si>
  <si>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</si>
  <si>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</si>
  <si>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</si>
  <si>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</si>
  <si>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</si>
  <si>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</si>
  <si>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</si>
  <si>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</si>
  <si>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</si>
  <si>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</si>
  <si>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</si>
  <si>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</si>
  <si>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</si>
  <si>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</si>
  <si>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</si>
  <si>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</si>
  <si>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</si>
  <si>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</si>
  <si>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</si>
  <si>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</si>
  <si>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</si>
  <si>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</si>
  <si>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</si>
  <si>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</si>
  <si>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</si>
  <si>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</si>
  <si>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</si>
  <si>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</si>
  <si>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</si>
  <si>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</si>
  <si>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</si>
  <si>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</si>
  <si>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</si>
  <si>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</si>
  <si>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</si>
  <si>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</si>
  <si>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</si>
  <si>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</si>
  <si>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</si>
  <si>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</si>
  <si>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</si>
  <si>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</si>
  <si>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</si>
  <si>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</si>
  <si>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</si>
  <si>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</si>
  <si>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</si>
  <si>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</si>
  <si>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</si>
  <si>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</si>
  <si>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</si>
  <si>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</si>
  <si>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</si>
  <si>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</si>
  <si>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</si>
  <si>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</si>
  <si>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</si>
  <si>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</si>
  <si>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</si>
  <si>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</si>
  <si>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</si>
  <si>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</si>
  <si>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</si>
  <si>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</si>
  <si>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</si>
  <si>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</si>
  <si>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</si>
  <si>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</si>
  <si>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</si>
  <si>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</si>
  <si>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</si>
  <si>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</si>
  <si>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</si>
  <si>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</si>
  <si>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</si>
  <si>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</si>
  <si>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</si>
  <si>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</si>
  <si>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</si>
  <si>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</si>
  <si>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</si>
  <si>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</si>
  <si>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</si>
  <si>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</si>
  <si>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</si>
  <si>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</si>
  <si>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</si>
  <si>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</si>
  <si>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</si>
  <si>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</si>
  <si>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</si>
  <si>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</si>
  <si>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</si>
  <si>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</si>
  <si>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</si>
  <si>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</si>
  <si>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</si>
  <si>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</si>
  <si>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</si>
  <si>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</si>
  <si>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</si>
  <si>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</si>
  <si>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</si>
  <si>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</si>
  <si>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</si>
  <si>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</si>
  <si>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</si>
  <si>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</si>
  <si>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</si>
  <si>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</si>
  <si>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</si>
  <si>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</si>
  <si>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</si>
  <si>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</si>
  <si>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</si>
  <si>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</si>
  <si>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</si>
  <si>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</si>
  <si>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</si>
  <si>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</si>
  <si>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</si>
  <si>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</si>
  <si>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</si>
  <si>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</si>
  <si>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</si>
  <si>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</si>
  <si>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</si>
  <si>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</si>
  <si>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</si>
  <si>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</si>
  <si>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</si>
  <si>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</si>
  <si>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</si>
  <si>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</si>
  <si>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</si>
  <si>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</si>
  <si>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</si>
  <si>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</si>
  <si>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</si>
  <si>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</si>
  <si>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</si>
  <si>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</si>
  <si>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</si>
  <si>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</si>
  <si>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</si>
  <si>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</si>
  <si>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</si>
  <si>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</si>
  <si>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</si>
  <si>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</si>
  <si>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</si>
  <si>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</si>
  <si>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</si>
  <si>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</si>
  <si>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</si>
  <si>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</si>
  <si>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</si>
  <si>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</si>
  <si>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</si>
  <si>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</si>
  <si>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</si>
  <si>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</si>
  <si>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</si>
  <si>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</si>
  <si>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</si>
  <si>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</si>
  <si>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</si>
  <si>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</si>
  <si>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</si>
  <si>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</si>
  <si>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</si>
  <si>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</si>
  <si>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</si>
  <si>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</si>
  <si>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</si>
  <si>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</si>
  <si>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</si>
  <si>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</si>
  <si>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</si>
  <si>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</si>
  <si>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</si>
  <si>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</si>
  <si>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</si>
  <si>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</si>
  <si>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</si>
  <si>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</si>
  <si>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</si>
  <si>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</si>
  <si>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</si>
  <si>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</si>
  <si>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</si>
  <si>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</si>
  <si>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</si>
  <si>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</si>
  <si>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</si>
  <si>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</si>
  <si>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</si>
  <si>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</si>
  <si>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</si>
  <si>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</si>
  <si>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</si>
  <si>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</si>
  <si>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</si>
  <si>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</si>
  <si>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</si>
  <si>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</si>
  <si>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</si>
  <si>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</si>
  <si>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</si>
  <si>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</si>
  <si>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</si>
  <si>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</si>
  <si>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</si>
  <si>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</si>
  <si>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</si>
  <si>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</si>
  <si>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</si>
  <si>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</si>
  <si>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</si>
  <si>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</si>
  <si>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</si>
  <si>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</si>
  <si>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</si>
  <si>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</si>
  <si>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</si>
  <si>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</si>
  <si>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</si>
  <si>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</si>
  <si>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</si>
  <si>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</si>
  <si>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</si>
  <si>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</si>
  <si>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</si>
  <si>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</si>
  <si>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</si>
  <si>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</si>
  <si>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</si>
  <si>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</si>
  <si>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</si>
  <si>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</si>
  <si>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</si>
  <si>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</si>
  <si>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</si>
  <si>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</si>
  <si>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</si>
  <si>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</si>
  <si>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</si>
  <si>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</si>
  <si>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</si>
  <si>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</si>
  <si>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</si>
  <si>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</si>
  <si>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</si>
  <si>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</si>
  <si>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</si>
  <si>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</si>
  <si>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</si>
  <si>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</si>
  <si>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</si>
  <si>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</si>
  <si>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</si>
  <si>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</si>
  <si>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</si>
  <si>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</si>
  <si>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</si>
  <si>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</si>
  <si>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</si>
  <si>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</si>
  <si>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</si>
  <si>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</si>
  <si>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</si>
  <si>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</si>
  <si>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</si>
  <si>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</si>
  <si>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</si>
  <si>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</si>
  <si>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</si>
  <si>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</si>
  <si>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</si>
  <si>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</si>
  <si>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</si>
  <si>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</si>
  <si>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</si>
  <si>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</si>
  <si>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</si>
  <si>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</si>
  <si>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</si>
  <si>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</si>
  <si>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</si>
  <si>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</si>
  <si>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</si>
  <si>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</si>
  <si>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</si>
  <si>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</si>
  <si>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</si>
  <si>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</si>
  <si>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</si>
  <si>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</si>
  <si>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</si>
  <si>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</si>
  <si>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</si>
  <si>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</si>
  <si>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</si>
  <si>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</si>
  <si>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</si>
  <si>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</si>
  <si>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</si>
  <si>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</si>
  <si>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</si>
  <si>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</si>
  <si>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</si>
  <si>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</si>
  <si>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</si>
  <si>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</si>
  <si>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</si>
  <si>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</si>
  <si>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</si>
  <si>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</si>
  <si>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</si>
  <si>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</si>
  <si>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</si>
  <si>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</si>
  <si>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</si>
  <si>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</si>
  <si>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</si>
  <si>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</si>
  <si>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</si>
  <si>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</si>
  <si>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</si>
  <si>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</si>
  <si>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</si>
  <si>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</si>
  <si>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</si>
  <si>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</si>
  <si>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</si>
  <si>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</si>
  <si>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</si>
  <si>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</si>
  <si>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</si>
  <si>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</si>
  <si>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</si>
  <si>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</si>
  <si>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</si>
  <si>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</si>
  <si>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</si>
  <si>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</si>
  <si>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</si>
  <si>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</si>
  <si>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</si>
  <si>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</si>
  <si>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</si>
  <si>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</si>
  <si>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</si>
  <si>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</si>
  <si>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</si>
  <si>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</si>
  <si>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</si>
  <si>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</si>
  <si>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</si>
  <si>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</si>
  <si>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</si>
  <si>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</si>
  <si>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</si>
  <si>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</si>
  <si>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</si>
  <si>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</si>
  <si>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</si>
  <si>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</si>
  <si>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</si>
  <si>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</si>
  <si>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</si>
  <si>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</si>
  <si>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</si>
  <si>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</si>
  <si>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</si>
  <si>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</si>
  <si>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</si>
  <si>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</si>
  <si>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</si>
  <si>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</si>
  <si>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</si>
  <si>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</si>
  <si>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</si>
  <si>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</si>
  <si>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</si>
  <si>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</si>
  <si>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</si>
  <si>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</si>
  <si>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</si>
  <si>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</si>
  <si>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</si>
  <si>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</si>
  <si>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</si>
  <si>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</si>
  <si>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</si>
  <si>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</si>
  <si>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</si>
  <si>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</si>
  <si>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</si>
  <si>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</si>
  <si>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</si>
  <si>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</si>
  <si>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</si>
  <si>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</si>
  <si>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</si>
  <si>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</si>
  <si>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</si>
  <si>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</si>
  <si>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</si>
  <si>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</si>
  <si>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</si>
  <si>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</si>
  <si>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</si>
  <si>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</si>
  <si>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</si>
  <si>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</si>
  <si>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</si>
  <si>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</si>
  <si>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</si>
  <si>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</si>
  <si>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</si>
  <si>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</si>
  <si>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</si>
  <si>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</si>
  <si>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</si>
  <si>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</si>
  <si>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</si>
  <si>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</si>
  <si>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</si>
  <si>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</si>
  <si>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</si>
  <si>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</si>
  <si>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</si>
  <si>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</si>
  <si>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</si>
  <si>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</si>
  <si>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</si>
  <si>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</si>
  <si>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</si>
  <si>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</si>
  <si>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</si>
  <si>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</si>
  <si>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</si>
  <si>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</si>
  <si>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</si>
  <si>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</si>
  <si>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</si>
  <si>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</si>
  <si>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</si>
  <si>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</si>
  <si>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</si>
  <si>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</si>
  <si>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</si>
  <si>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</si>
  <si>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</si>
  <si>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</si>
  <si>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</si>
  <si>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</si>
  <si>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</si>
  <si>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</si>
  <si>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</si>
  <si>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</si>
  <si>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</si>
  <si>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</si>
  <si>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</si>
  <si>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</si>
  <si>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</si>
  <si>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</si>
  <si>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</si>
  <si>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</si>
  <si>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</si>
  <si>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</si>
  <si>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</si>
  <si>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</si>
  <si>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</si>
  <si>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</si>
  <si>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</si>
  <si>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</si>
  <si>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</si>
  <si>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</si>
  <si>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</si>
  <si>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</si>
  <si>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</si>
  <si>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</si>
  <si>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</si>
  <si>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</si>
  <si>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</si>
  <si>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</si>
  <si>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</si>
  <si>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</si>
  <si>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</si>
  <si>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</si>
  <si>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</si>
  <si>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</si>
  <si>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</si>
  <si>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</si>
  <si>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</si>
  <si>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</si>
  <si>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</si>
  <si>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</si>
  <si>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</si>
  <si>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</si>
  <si>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</si>
  <si>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</si>
  <si>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</si>
  <si>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</si>
  <si>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</si>
  <si>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</si>
  <si>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</si>
  <si>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</si>
  <si>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</si>
  <si>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</si>
  <si>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</si>
  <si>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</si>
  <si>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</si>
  <si>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</si>
  <si>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</si>
  <si>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</si>
  <si>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</si>
  <si>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</si>
  <si>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</si>
  <si>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</si>
  <si>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</si>
  <si>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</si>
  <si>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</si>
  <si>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</si>
  <si>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</si>
  <si>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</si>
  <si>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</si>
  <si>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</si>
  <si>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</si>
  <si>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</si>
  <si>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</si>
  <si>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</si>
  <si>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</si>
  <si>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</si>
  <si>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</si>
  <si>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</si>
  <si>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</si>
  <si>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</si>
  <si>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</si>
  <si>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</si>
  <si>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</si>
  <si>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</si>
  <si>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</si>
  <si>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</si>
  <si>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</si>
  <si>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</si>
  <si>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</si>
  <si>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</si>
  <si>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</si>
  <si>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</si>
  <si>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</si>
  <si>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</si>
  <si>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</si>
  <si>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</si>
  <si>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</si>
  <si>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</si>
  <si>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</si>
  <si>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</si>
  <si>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</si>
  <si>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</si>
  <si>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</si>
  <si>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</si>
  <si>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</si>
  <si>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</si>
  <si>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</si>
  <si>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</si>
  <si>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</si>
  <si>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</si>
  <si>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</si>
  <si>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</si>
  <si>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</si>
  <si>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</si>
  <si>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</si>
  <si>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</si>
  <si>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</si>
  <si>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</si>
  <si>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</si>
  <si>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</si>
  <si>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</si>
  <si>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</si>
  <si>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</si>
  <si>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</si>
  <si>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</si>
  <si>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</si>
  <si>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</si>
  <si>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</si>
  <si>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</si>
  <si>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</si>
  <si>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</si>
  <si>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</si>
  <si>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</si>
  <si>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</si>
  <si>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</si>
  <si>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</si>
  <si>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</si>
  <si>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</si>
  <si>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</si>
  <si>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</si>
  <si>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</si>
  <si>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</si>
  <si>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</si>
  <si>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</si>
  <si>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</si>
  <si>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</si>
  <si>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</si>
  <si>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</si>
  <si>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</si>
  <si>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</si>
  <si>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</si>
  <si>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</si>
  <si>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</si>
  <si>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</si>
  <si>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</si>
  <si>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</si>
  <si>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</si>
  <si>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</si>
  <si>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</si>
  <si>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</si>
  <si>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</si>
  <si>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</si>
  <si>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</si>
  <si>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</si>
  <si>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</si>
  <si>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</si>
  <si>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</si>
  <si>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</si>
  <si>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</si>
  <si>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</si>
  <si>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</si>
  <si>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</si>
  <si>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</si>
  <si>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</si>
  <si>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</si>
  <si>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</si>
  <si>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</si>
  <si>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</si>
  <si>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</si>
  <si>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</si>
  <si>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</si>
  <si>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</si>
  <si>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</si>
  <si>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</si>
  <si>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</si>
  <si>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</si>
  <si>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</si>
  <si>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</si>
  <si>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</si>
  <si>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</si>
  <si>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</si>
  <si>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</si>
  <si>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</si>
  <si>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</si>
  <si>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</si>
  <si>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</si>
  <si>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</si>
  <si>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</si>
  <si>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</si>
  <si>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</si>
  <si>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</si>
  <si>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</si>
  <si>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</si>
  <si>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</si>
  <si>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</si>
  <si>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</si>
  <si>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</si>
  <si>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</si>
  <si>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</si>
  <si>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</si>
  <si>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</si>
  <si>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</si>
  <si>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</si>
  <si>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</si>
  <si>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</si>
  <si>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</si>
  <si>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</si>
  <si>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</si>
  <si>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</si>
  <si>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</si>
  <si>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</si>
  <si>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</si>
  <si>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</si>
  <si>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</si>
  <si>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</si>
  <si>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</si>
  <si>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</si>
  <si>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</si>
  <si>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</si>
  <si>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</si>
  <si>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</si>
  <si>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</si>
  <si>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</si>
  <si>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</si>
  <si>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</si>
  <si>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</si>
  <si>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</si>
  <si>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</si>
  <si>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</si>
  <si>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</si>
  <si>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</si>
  <si>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</si>
  <si>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</si>
  <si>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</si>
  <si>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</si>
  <si>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</si>
  <si>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</si>
  <si>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</si>
  <si>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</si>
  <si>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44021</t>
  </si>
  <si>
    <t>GENT</t>
  </si>
  <si>
    <t>Paarden&amp;pony's 200 - 600 kg</t>
  </si>
  <si>
    <t>Paarden&amp;pony's &lt; 200 kg</t>
  </si>
  <si>
    <t>op basis van VEA (maart 2018) en Inventaris Hernieuwbare Energiebronnen (juni 2018)</t>
  </si>
  <si>
    <t>VEA (juni 2018)</t>
  </si>
  <si>
    <t>Jean_Pierre Van Wingen</t>
  </si>
  <si>
    <t>Keuzekouter 20 , 9031 Drongen</t>
  </si>
  <si>
    <t>WKK-0220 Jean-Pierre Van Wingen</t>
  </si>
  <si>
    <t>interne verbrandingsmotor</t>
  </si>
  <si>
    <t>WKK interne verbrandinsgmotor (gas)</t>
  </si>
  <si>
    <t>IMEWO</t>
  </si>
  <si>
    <t>Cediex - Trans EBVBA</t>
  </si>
  <si>
    <t>Moutstraat 34 , 9000 Gent</t>
  </si>
  <si>
    <t>WKK-0397 Cediex-Trans</t>
  </si>
  <si>
    <t>Johan Coppens</t>
  </si>
  <si>
    <t>Klossebos 4 , 9052 Zwijnaarde</t>
  </si>
  <si>
    <t>WKK-0492 Johan Coppens</t>
  </si>
  <si>
    <t>stirlingmotor</t>
  </si>
  <si>
    <t>S&amp;R Gent nv</t>
  </si>
  <si>
    <t>Victor Braeckmanlaan 180 , 9040 Sint-Amandsberg</t>
  </si>
  <si>
    <t>WKK-0417 SR Gent</t>
  </si>
  <si>
    <t>Digrom Energy NV</t>
  </si>
  <si>
    <t>Dulle-Grietlaan 17/14 , 9050 Gentbrugge</t>
  </si>
  <si>
    <t>WKK-0435 Digrom Energy</t>
  </si>
  <si>
    <t>Wezestraat 61 , 8850 Ardooie</t>
  </si>
  <si>
    <t>GASELWEST</t>
  </si>
  <si>
    <t>Aquafin NV</t>
  </si>
  <si>
    <t>Dijkstraat 8, 2630 Aartselaar</t>
  </si>
  <si>
    <t>BGS-0037 RWZI Gent</t>
  </si>
  <si>
    <t>biogas - RWZI</t>
  </si>
  <si>
    <t>niet WKK interne verbrandingsmotor (gas)</t>
  </si>
  <si>
    <t>Drongensesteenweg 254, 9000 Gent</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</si>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</sst>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44021</v>
      </c>
      <c r="B6" s="397"/>
      <c r="C6" s="398"/>
    </row>
    <row r="7" spans="1:7" s="395" customFormat="1" ht="15.75" customHeight="1">
      <c r="A7" s="399" t="str">
        <f>txtMunicipality</f>
        <v>GENT</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44021</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117337</v>
      </c>
      <c r="C9" s="338">
        <v>123757</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3215</v>
      </c>
    </row>
    <row r="15" spans="1:6">
      <c r="A15" s="1260" t="s">
        <v>184</v>
      </c>
      <c r="B15" s="335">
        <v>33</v>
      </c>
    </row>
    <row r="16" spans="1:6">
      <c r="A16" s="1260" t="s">
        <v>6</v>
      </c>
      <c r="B16" s="335">
        <v>1286</v>
      </c>
    </row>
    <row r="17" spans="1:6">
      <c r="A17" s="1260" t="s">
        <v>7</v>
      </c>
      <c r="B17" s="335">
        <v>876</v>
      </c>
    </row>
    <row r="18" spans="1:6">
      <c r="A18" s="1260" t="s">
        <v>8</v>
      </c>
      <c r="B18" s="335">
        <v>1401</v>
      </c>
    </row>
    <row r="19" spans="1:6">
      <c r="A19" s="1260" t="s">
        <v>9</v>
      </c>
      <c r="B19" s="335">
        <v>1226</v>
      </c>
    </row>
    <row r="20" spans="1:6">
      <c r="A20" s="1260" t="s">
        <v>10</v>
      </c>
      <c r="B20" s="335">
        <v>890</v>
      </c>
    </row>
    <row r="21" spans="1:6">
      <c r="A21" s="1260" t="s">
        <v>11</v>
      </c>
      <c r="B21" s="335">
        <v>1995</v>
      </c>
    </row>
    <row r="22" spans="1:6">
      <c r="A22" s="1260" t="s">
        <v>12</v>
      </c>
      <c r="B22" s="335">
        <v>3978</v>
      </c>
    </row>
    <row r="23" spans="1:6">
      <c r="A23" s="1260" t="s">
        <v>13</v>
      </c>
      <c r="B23" s="335">
        <v>74</v>
      </c>
    </row>
    <row r="24" spans="1:6">
      <c r="A24" s="1260" t="s">
        <v>14</v>
      </c>
      <c r="B24" s="335">
        <v>8</v>
      </c>
    </row>
    <row r="25" spans="1:6">
      <c r="A25" s="1260" t="s">
        <v>15</v>
      </c>
      <c r="B25" s="335">
        <v>577</v>
      </c>
    </row>
    <row r="26" spans="1:6">
      <c r="A26" s="1260" t="s">
        <v>16</v>
      </c>
      <c r="B26" s="335">
        <v>368</v>
      </c>
    </row>
    <row r="27" spans="1:6">
      <c r="A27" s="1260" t="s">
        <v>17</v>
      </c>
      <c r="B27" s="335">
        <v>6</v>
      </c>
    </row>
    <row r="28" spans="1:6" s="341" customFormat="1">
      <c r="A28" s="1261" t="s">
        <v>18</v>
      </c>
      <c r="B28" s="1261">
        <v>2</v>
      </c>
    </row>
    <row r="29" spans="1:6">
      <c r="A29" s="1261" t="s">
        <v>910</v>
      </c>
      <c r="B29" s="1261">
        <v>512</v>
      </c>
      <c r="C29" s="341"/>
      <c r="D29" s="341"/>
      <c r="E29" s="341"/>
      <c r="F29" s="341"/>
    </row>
    <row r="30" spans="1:6">
      <c r="A30" s="1256" t="s">
        <v>911</v>
      </c>
      <c r="B30" s="1256">
        <v>84</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9</v>
      </c>
      <c r="F35" s="335">
        <v>103765.739044129</v>
      </c>
    </row>
    <row r="36" spans="1:6">
      <c r="A36" s="1260" t="s">
        <v>25</v>
      </c>
      <c r="B36" s="1260" t="s">
        <v>27</v>
      </c>
      <c r="C36" s="335">
        <v>20</v>
      </c>
      <c r="D36" s="335">
        <v>1286990.9495872001</v>
      </c>
      <c r="E36" s="335">
        <v>54</v>
      </c>
      <c r="F36" s="335">
        <v>6081965.7529095504</v>
      </c>
    </row>
    <row r="37" spans="1:6">
      <c r="A37" s="1260" t="s">
        <v>25</v>
      </c>
      <c r="B37" s="1260" t="s">
        <v>28</v>
      </c>
      <c r="C37" s="335">
        <v>0</v>
      </c>
      <c r="D37" s="335">
        <v>0</v>
      </c>
      <c r="E37" s="335">
        <v>3</v>
      </c>
      <c r="F37" s="335">
        <v>98493.655257340797</v>
      </c>
    </row>
    <row r="38" spans="1:6">
      <c r="A38" s="1260" t="s">
        <v>25</v>
      </c>
      <c r="B38" s="1260" t="s">
        <v>29</v>
      </c>
      <c r="C38" s="335">
        <v>7</v>
      </c>
      <c r="D38" s="335">
        <v>133632.653925372</v>
      </c>
      <c r="E38" s="335">
        <v>15</v>
      </c>
      <c r="F38" s="335">
        <v>1030389.32366737</v>
      </c>
    </row>
    <row r="39" spans="1:6">
      <c r="A39" s="1260" t="s">
        <v>30</v>
      </c>
      <c r="B39" s="1260" t="s">
        <v>31</v>
      </c>
      <c r="C39" s="335">
        <v>85928</v>
      </c>
      <c r="D39" s="335">
        <v>1306066017.3478355</v>
      </c>
      <c r="E39" s="335">
        <v>116001</v>
      </c>
      <c r="F39" s="335">
        <v>383392230.12347311</v>
      </c>
    </row>
    <row r="40" spans="1:6">
      <c r="A40" s="1260" t="s">
        <v>30</v>
      </c>
      <c r="B40" s="1260" t="s">
        <v>29</v>
      </c>
      <c r="C40" s="335">
        <v>4</v>
      </c>
      <c r="D40" s="335">
        <v>300676.74553293001</v>
      </c>
      <c r="E40" s="335">
        <v>4</v>
      </c>
      <c r="F40" s="335">
        <v>20664.5488331579</v>
      </c>
    </row>
    <row r="41" spans="1:6">
      <c r="A41" s="1260" t="s">
        <v>32</v>
      </c>
      <c r="B41" s="1260" t="s">
        <v>33</v>
      </c>
      <c r="C41" s="335">
        <v>751</v>
      </c>
      <c r="D41" s="335">
        <v>36816663.360970199</v>
      </c>
      <c r="E41" s="335">
        <v>1537</v>
      </c>
      <c r="F41" s="335">
        <v>50331836.983780898</v>
      </c>
    </row>
    <row r="42" spans="1:6">
      <c r="A42" s="1260" t="s">
        <v>32</v>
      </c>
      <c r="B42" s="1260" t="s">
        <v>34</v>
      </c>
      <c r="C42" s="335">
        <v>8</v>
      </c>
      <c r="D42" s="335">
        <v>8669311.7386123501</v>
      </c>
      <c r="E42" s="335">
        <v>14</v>
      </c>
      <c r="F42" s="335">
        <v>32384470.9551211</v>
      </c>
    </row>
    <row r="43" spans="1:6">
      <c r="A43" s="1260" t="s">
        <v>32</v>
      </c>
      <c r="B43" s="1260" t="s">
        <v>35</v>
      </c>
      <c r="C43" s="335">
        <v>0</v>
      </c>
      <c r="D43" s="335">
        <v>0</v>
      </c>
      <c r="E43" s="335">
        <v>0</v>
      </c>
      <c r="F43" s="335">
        <v>0</v>
      </c>
    </row>
    <row r="44" spans="1:6">
      <c r="A44" s="1260" t="s">
        <v>32</v>
      </c>
      <c r="B44" s="1260" t="s">
        <v>36</v>
      </c>
      <c r="C44" s="335">
        <v>56</v>
      </c>
      <c r="D44" s="335">
        <v>41566894.457587302</v>
      </c>
      <c r="E44" s="335">
        <v>150</v>
      </c>
      <c r="F44" s="335">
        <v>29211522.803481799</v>
      </c>
    </row>
    <row r="45" spans="1:6">
      <c r="A45" s="1260" t="s">
        <v>32</v>
      </c>
      <c r="B45" s="1260" t="s">
        <v>37</v>
      </c>
      <c r="C45" s="335">
        <v>6</v>
      </c>
      <c r="D45" s="335">
        <v>532899.46121297905</v>
      </c>
      <c r="E45" s="335">
        <v>32</v>
      </c>
      <c r="F45" s="335">
        <v>62835648.390747398</v>
      </c>
    </row>
    <row r="46" spans="1:6">
      <c r="A46" s="1260" t="s">
        <v>32</v>
      </c>
      <c r="B46" s="1260" t="s">
        <v>38</v>
      </c>
      <c r="C46" s="335">
        <v>0</v>
      </c>
      <c r="D46" s="335">
        <v>0</v>
      </c>
      <c r="E46" s="335">
        <v>0</v>
      </c>
      <c r="F46" s="335">
        <v>0</v>
      </c>
    </row>
    <row r="47" spans="1:6">
      <c r="A47" s="1260" t="s">
        <v>32</v>
      </c>
      <c r="B47" s="1260" t="s">
        <v>39</v>
      </c>
      <c r="C47" s="335">
        <v>79</v>
      </c>
      <c r="D47" s="335">
        <v>3059818.6282093101</v>
      </c>
      <c r="E47" s="335">
        <v>123</v>
      </c>
      <c r="F47" s="335">
        <v>13755921.0904199</v>
      </c>
    </row>
    <row r="48" spans="1:6">
      <c r="A48" s="1260" t="s">
        <v>32</v>
      </c>
      <c r="B48" s="1260" t="s">
        <v>29</v>
      </c>
      <c r="C48" s="335">
        <v>265</v>
      </c>
      <c r="D48" s="335">
        <v>196846719.05573601</v>
      </c>
      <c r="E48" s="335">
        <v>350</v>
      </c>
      <c r="F48" s="335">
        <v>159463677.14950299</v>
      </c>
    </row>
    <row r="49" spans="1:6">
      <c r="A49" s="1260" t="s">
        <v>32</v>
      </c>
      <c r="B49" s="1260" t="s">
        <v>40</v>
      </c>
      <c r="C49" s="335">
        <v>18</v>
      </c>
      <c r="D49" s="335">
        <v>562650.27727884904</v>
      </c>
      <c r="E49" s="335">
        <v>25</v>
      </c>
      <c r="F49" s="335">
        <v>376231.05526769202</v>
      </c>
    </row>
    <row r="50" spans="1:6">
      <c r="A50" s="1260" t="s">
        <v>32</v>
      </c>
      <c r="B50" s="1260" t="s">
        <v>41</v>
      </c>
      <c r="C50" s="335">
        <v>147</v>
      </c>
      <c r="D50" s="335">
        <v>27572665.922025699</v>
      </c>
      <c r="E50" s="335">
        <v>215</v>
      </c>
      <c r="F50" s="335">
        <v>31332773.203883201</v>
      </c>
    </row>
    <row r="51" spans="1:6">
      <c r="A51" s="1260" t="s">
        <v>42</v>
      </c>
      <c r="B51" s="1260" t="s">
        <v>43</v>
      </c>
      <c r="C51" s="335">
        <v>74</v>
      </c>
      <c r="D51" s="335">
        <v>3951060.6459866199</v>
      </c>
      <c r="E51" s="335">
        <v>225</v>
      </c>
      <c r="F51" s="335">
        <v>2422043.5673444401</v>
      </c>
    </row>
    <row r="52" spans="1:6">
      <c r="A52" s="1260" t="s">
        <v>42</v>
      </c>
      <c r="B52" s="1260" t="s">
        <v>29</v>
      </c>
      <c r="C52" s="335">
        <v>34</v>
      </c>
      <c r="D52" s="335">
        <v>1892910.0518590901</v>
      </c>
      <c r="E52" s="335">
        <v>58</v>
      </c>
      <c r="F52" s="335">
        <v>588836.09573585703</v>
      </c>
    </row>
    <row r="53" spans="1:6">
      <c r="A53" s="1260" t="s">
        <v>44</v>
      </c>
      <c r="B53" s="1260" t="s">
        <v>45</v>
      </c>
      <c r="C53" s="335">
        <v>2557</v>
      </c>
      <c r="D53" s="335">
        <v>73672805.431769893</v>
      </c>
      <c r="E53" s="335">
        <v>4220</v>
      </c>
      <c r="F53" s="335">
        <v>20976757.417396899</v>
      </c>
    </row>
    <row r="54" spans="1:6">
      <c r="A54" s="1260" t="s">
        <v>46</v>
      </c>
      <c r="B54" s="1260" t="s">
        <v>47</v>
      </c>
      <c r="C54" s="335">
        <v>0</v>
      </c>
      <c r="D54" s="335">
        <v>0</v>
      </c>
      <c r="E54" s="335">
        <v>12</v>
      </c>
      <c r="F54" s="335">
        <v>15501861</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860</v>
      </c>
      <c r="D57" s="335">
        <v>49226057.858709</v>
      </c>
      <c r="E57" s="335">
        <v>1299</v>
      </c>
      <c r="F57" s="335">
        <v>38780261.348059401</v>
      </c>
    </row>
    <row r="58" spans="1:6">
      <c r="A58" s="1260" t="s">
        <v>49</v>
      </c>
      <c r="B58" s="1260" t="s">
        <v>51</v>
      </c>
      <c r="C58" s="335">
        <v>616</v>
      </c>
      <c r="D58" s="335">
        <v>86391855.057433903</v>
      </c>
      <c r="E58" s="335">
        <v>878</v>
      </c>
      <c r="F58" s="335">
        <v>54449291.594953202</v>
      </c>
    </row>
    <row r="59" spans="1:6">
      <c r="A59" s="1260" t="s">
        <v>49</v>
      </c>
      <c r="B59" s="1260" t="s">
        <v>52</v>
      </c>
      <c r="C59" s="335">
        <v>2022</v>
      </c>
      <c r="D59" s="335">
        <v>86865447.588383093</v>
      </c>
      <c r="E59" s="335">
        <v>3558</v>
      </c>
      <c r="F59" s="335">
        <v>160766614.80386499</v>
      </c>
    </row>
    <row r="60" spans="1:6">
      <c r="A60" s="1260" t="s">
        <v>49</v>
      </c>
      <c r="B60" s="1260" t="s">
        <v>53</v>
      </c>
      <c r="C60" s="335">
        <v>1578</v>
      </c>
      <c r="D60" s="335">
        <v>168723677.70130599</v>
      </c>
      <c r="E60" s="335">
        <v>2151</v>
      </c>
      <c r="F60" s="335">
        <v>80417387.610832796</v>
      </c>
    </row>
    <row r="61" spans="1:6">
      <c r="A61" s="1260" t="s">
        <v>49</v>
      </c>
      <c r="B61" s="1260" t="s">
        <v>54</v>
      </c>
      <c r="C61" s="335">
        <v>4498</v>
      </c>
      <c r="D61" s="335">
        <v>328517169.29715598</v>
      </c>
      <c r="E61" s="335">
        <v>8530</v>
      </c>
      <c r="F61" s="335">
        <v>208032394.47030199</v>
      </c>
    </row>
    <row r="62" spans="1:6">
      <c r="A62" s="1260" t="s">
        <v>49</v>
      </c>
      <c r="B62" s="1260" t="s">
        <v>55</v>
      </c>
      <c r="C62" s="335">
        <v>241</v>
      </c>
      <c r="D62" s="335">
        <v>82598084.668977901</v>
      </c>
      <c r="E62" s="335">
        <v>269</v>
      </c>
      <c r="F62" s="335">
        <v>77749031.778535098</v>
      </c>
    </row>
    <row r="63" spans="1:6">
      <c r="A63" s="1260" t="s">
        <v>49</v>
      </c>
      <c r="B63" s="1260" t="s">
        <v>29</v>
      </c>
      <c r="C63" s="335">
        <v>816</v>
      </c>
      <c r="D63" s="335">
        <v>169057237.06304899</v>
      </c>
      <c r="E63" s="335">
        <v>913</v>
      </c>
      <c r="F63" s="335">
        <v>61542648.996774703</v>
      </c>
    </row>
    <row r="64" spans="1:6">
      <c r="A64" s="1260" t="s">
        <v>56</v>
      </c>
      <c r="B64" s="1260" t="s">
        <v>57</v>
      </c>
      <c r="C64" s="335">
        <v>0</v>
      </c>
      <c r="D64" s="335">
        <v>0</v>
      </c>
      <c r="E64" s="335">
        <v>0</v>
      </c>
      <c r="F64" s="335">
        <v>0</v>
      </c>
    </row>
    <row r="65" spans="1:6">
      <c r="A65" s="1260" t="s">
        <v>56</v>
      </c>
      <c r="B65" s="1260" t="s">
        <v>29</v>
      </c>
      <c r="C65" s="335">
        <v>17</v>
      </c>
      <c r="D65" s="335">
        <v>887886.01093151502</v>
      </c>
      <c r="E65" s="335">
        <v>23</v>
      </c>
      <c r="F65" s="335">
        <v>600820.86997796095</v>
      </c>
    </row>
    <row r="66" spans="1:6">
      <c r="A66" s="1260" t="s">
        <v>56</v>
      </c>
      <c r="B66" s="1260" t="s">
        <v>58</v>
      </c>
      <c r="C66" s="335">
        <v>3</v>
      </c>
      <c r="D66" s="335">
        <v>83646.450686765893</v>
      </c>
      <c r="E66" s="335">
        <v>11</v>
      </c>
      <c r="F66" s="335">
        <v>921870.20752093894</v>
      </c>
    </row>
    <row r="67" spans="1:6">
      <c r="A67" s="1261" t="s">
        <v>56</v>
      </c>
      <c r="B67" s="1261" t="s">
        <v>59</v>
      </c>
      <c r="C67" s="335">
        <v>0</v>
      </c>
      <c r="D67" s="335">
        <v>0</v>
      </c>
      <c r="E67" s="335">
        <v>0</v>
      </c>
      <c r="F67" s="335">
        <v>0</v>
      </c>
    </row>
    <row r="68" spans="1:6">
      <c r="A68" s="1256" t="s">
        <v>56</v>
      </c>
      <c r="B68" s="1256" t="s">
        <v>60</v>
      </c>
      <c r="C68" s="335">
        <v>27</v>
      </c>
      <c r="D68" s="335">
        <v>2775655.2947397102</v>
      </c>
      <c r="E68" s="335">
        <v>110</v>
      </c>
      <c r="F68" s="335">
        <v>12081297.4734874</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601533342</v>
      </c>
      <c r="E73" s="335">
        <v>578079962.54652369</v>
      </c>
    </row>
    <row r="74" spans="1:6">
      <c r="A74" s="1260" t="s">
        <v>64</v>
      </c>
      <c r="B74" s="1260" t="s">
        <v>772</v>
      </c>
      <c r="C74" s="1271" t="s">
        <v>766</v>
      </c>
      <c r="D74" s="335">
        <v>87567597.305531755</v>
      </c>
      <c r="E74" s="335">
        <v>83805662.525545672</v>
      </c>
    </row>
    <row r="75" spans="1:6">
      <c r="A75" s="1260" t="s">
        <v>65</v>
      </c>
      <c r="B75" s="1260" t="s">
        <v>771</v>
      </c>
      <c r="C75" s="1271" t="s">
        <v>767</v>
      </c>
      <c r="D75" s="335">
        <v>371880662</v>
      </c>
      <c r="E75" s="335">
        <v>354211076.14638919</v>
      </c>
    </row>
    <row r="76" spans="1:6">
      <c r="A76" s="1260" t="s">
        <v>65</v>
      </c>
      <c r="B76" s="1260" t="s">
        <v>772</v>
      </c>
      <c r="C76" s="1271" t="s">
        <v>768</v>
      </c>
      <c r="D76" s="335">
        <v>28780887.305531751</v>
      </c>
      <c r="E76" s="335">
        <v>24505526.076054547</v>
      </c>
    </row>
    <row r="77" spans="1:6">
      <c r="A77" s="1260" t="s">
        <v>66</v>
      </c>
      <c r="B77" s="1260" t="s">
        <v>771</v>
      </c>
      <c r="C77" s="1271" t="s">
        <v>769</v>
      </c>
      <c r="D77" s="335">
        <v>948024333</v>
      </c>
      <c r="E77" s="335">
        <v>1033815157.3914365</v>
      </c>
    </row>
    <row r="78" spans="1:6">
      <c r="A78" s="1256" t="s">
        <v>66</v>
      </c>
      <c r="B78" s="1256" t="s">
        <v>772</v>
      </c>
      <c r="C78" s="1256" t="s">
        <v>770</v>
      </c>
      <c r="D78" s="1256">
        <v>152072838</v>
      </c>
      <c r="E78" s="1256">
        <v>165350484.5809049</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10750405.388936495</v>
      </c>
      <c r="C83" s="335">
        <v>10325487.105371019</v>
      </c>
    </row>
    <row r="84" spans="1:6">
      <c r="A84" s="1256" t="s">
        <v>337</v>
      </c>
      <c r="B84" s="338">
        <v>2448535.4231186565</v>
      </c>
      <c r="C84" s="338">
        <v>2624738.0339463553</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69777.959571853862</v>
      </c>
    </row>
    <row r="91" spans="1:6">
      <c r="A91" s="1260" t="s">
        <v>68</v>
      </c>
      <c r="B91" s="335">
        <v>14715.56121993444</v>
      </c>
    </row>
    <row r="92" spans="1:6">
      <c r="A92" s="1256" t="s">
        <v>69</v>
      </c>
      <c r="B92" s="338">
        <v>28574.214861642133</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62627</v>
      </c>
    </row>
    <row r="98" spans="1:6">
      <c r="A98" s="1260" t="s">
        <v>72</v>
      </c>
      <c r="B98" s="335">
        <v>127</v>
      </c>
    </row>
    <row r="99" spans="1:6">
      <c r="A99" s="1260" t="s">
        <v>73</v>
      </c>
      <c r="B99" s="335">
        <v>385</v>
      </c>
    </row>
    <row r="100" spans="1:6">
      <c r="A100" s="1260" t="s">
        <v>74</v>
      </c>
      <c r="B100" s="335">
        <v>8623</v>
      </c>
    </row>
    <row r="101" spans="1:6">
      <c r="A101" s="1260" t="s">
        <v>75</v>
      </c>
      <c r="B101" s="335">
        <v>396</v>
      </c>
    </row>
    <row r="102" spans="1:6">
      <c r="A102" s="1260" t="s">
        <v>76</v>
      </c>
      <c r="B102" s="335">
        <v>4616</v>
      </c>
    </row>
    <row r="103" spans="1:6">
      <c r="A103" s="1260" t="s">
        <v>77</v>
      </c>
      <c r="B103" s="335">
        <v>1823</v>
      </c>
    </row>
    <row r="104" spans="1:6">
      <c r="A104" s="1260" t="s">
        <v>78</v>
      </c>
      <c r="B104" s="335">
        <v>21695</v>
      </c>
    </row>
    <row r="105" spans="1:6">
      <c r="A105" s="1256" t="s">
        <v>79</v>
      </c>
      <c r="B105" s="1256">
        <v>311</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1</v>
      </c>
    </row>
    <row r="111" spans="1:6">
      <c r="A111" s="1276" t="s">
        <v>710</v>
      </c>
      <c r="B111" s="1277">
        <v>1</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52</v>
      </c>
      <c r="C123" s="335">
        <v>184</v>
      </c>
    </row>
    <row r="124" spans="1:6">
      <c r="A124" s="1256" t="s">
        <v>89</v>
      </c>
      <c r="B124" s="335">
        <v>1</v>
      </c>
      <c r="C124" s="335">
        <v>3</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432</v>
      </c>
    </row>
    <row r="130" spans="1:6">
      <c r="A130" s="1260" t="s">
        <v>295</v>
      </c>
      <c r="B130" s="335">
        <v>14</v>
      </c>
    </row>
    <row r="131" spans="1:6">
      <c r="A131" s="1260" t="s">
        <v>296</v>
      </c>
      <c r="B131" s="335">
        <v>12</v>
      </c>
    </row>
    <row r="132" spans="1:6">
      <c r="A132" s="1256" t="s">
        <v>297</v>
      </c>
      <c r="B132" s="338">
        <v>22</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1488724.6732750363</v>
      </c>
      <c r="C3" s="44" t="s">
        <v>170</v>
      </c>
      <c r="D3" s="44"/>
      <c r="E3" s="157"/>
      <c r="F3" s="44"/>
      <c r="G3" s="44"/>
      <c r="H3" s="44"/>
      <c r="I3" s="44"/>
      <c r="J3" s="44"/>
      <c r="K3" s="97"/>
    </row>
    <row r="4" spans="1:11">
      <c r="A4" s="365" t="s">
        <v>171</v>
      </c>
      <c r="B4" s="50">
        <f>IF(ISERROR('SEAP template'!B69),0,'SEAP template'!B69)</f>
        <v>115723.18565343042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179.70180709556283</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0.2039416931967373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260.34076433300868</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1154.5714285714287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0.22548692778162097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15501.861000000001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15501.861000000001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0.2039416931967373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3161.4757800404673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383412.89467230625</v>
      </c>
      <c r="C5" s="18">
        <f>IF(ISERROR('Eigen informatie GS &amp; warmtenet'!B57),0,'Eigen informatie GS &amp; warmtenet'!B57)</f>
        <v>0</v>
      </c>
      <c r="D5" s="31">
        <f>(SUM(HH_hh_gas_kWh,HH_rest_gas_kWh)/1000)*0.902</f>
        <v>1178342.7580722184</v>
      </c>
      <c r="E5" s="18">
        <f>B46*B57</f>
        <v>28265.048974327281</v>
      </c>
      <c r="F5" s="18">
        <f>B51*B62</f>
        <v>0</v>
      </c>
      <c r="G5" s="19"/>
      <c r="H5" s="18"/>
      <c r="I5" s="18"/>
      <c r="J5" s="18">
        <f>B50*B61+C50*C61</f>
        <v>0</v>
      </c>
      <c r="K5" s="18"/>
      <c r="L5" s="18"/>
      <c r="M5" s="18"/>
      <c r="N5" s="18">
        <f>B48*B59+C48*C59</f>
        <v>94414.572973151866</v>
      </c>
      <c r="O5" s="18">
        <f>B69*B70*B71</f>
        <v>967.70333333333338</v>
      </c>
      <c r="P5" s="18">
        <f>B77*B78*B79/1000-B77*B78*B79/1000/B80</f>
        <v>1430</v>
      </c>
    </row>
    <row r="6" spans="1:16">
      <c r="A6" s="17" t="s">
        <v>639</v>
      </c>
      <c r="B6" s="831">
        <f>kWh_PV_kleiner_dan_10kW</f>
        <v>14715.56121993444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398128.45589224069</v>
      </c>
      <c r="C8" s="22">
        <f>C5</f>
        <v>0</v>
      </c>
      <c r="D8" s="22">
        <f>D5</f>
        <v>1178342.7580722184</v>
      </c>
      <c r="E8" s="22">
        <f>E5</f>
        <v>28265.048974327281</v>
      </c>
      <c r="F8" s="22">
        <f>F5</f>
        <v>0</v>
      </c>
      <c r="G8" s="22"/>
      <c r="H8" s="22"/>
      <c r="I8" s="22"/>
      <c r="J8" s="22">
        <f>J5</f>
        <v>0</v>
      </c>
      <c r="K8" s="22"/>
      <c r="L8" s="22">
        <f>L5</f>
        <v>0</v>
      </c>
      <c r="M8" s="22">
        <f>M5</f>
        <v>0</v>
      </c>
      <c r="N8" s="22">
        <f>N5</f>
        <v>94414.572973151866</v>
      </c>
      <c r="O8" s="22">
        <f>O5</f>
        <v>967.70333333333338</v>
      </c>
      <c r="P8" s="22">
        <f>P5</f>
        <v>1430</v>
      </c>
    </row>
    <row r="9" spans="1:16">
      <c r="B9" s="20"/>
      <c r="C9" s="20"/>
      <c r="D9" s="262"/>
      <c r="E9" s="20"/>
      <c r="F9" s="20"/>
      <c r="G9" s="20"/>
      <c r="H9" s="20"/>
      <c r="I9" s="20"/>
      <c r="J9" s="20"/>
      <c r="K9" s="20"/>
      <c r="L9" s="20"/>
      <c r="M9" s="20"/>
      <c r="N9" s="20"/>
      <c r="O9" s="20"/>
      <c r="P9" s="20"/>
    </row>
    <row r="10" spans="1:16">
      <c r="A10" s="25" t="s">
        <v>214</v>
      </c>
      <c r="B10" s="26">
        <f ca="1">'EF ele_warmte'!B12</f>
        <v>0.2039416931967373</v>
      </c>
      <c r="C10" s="26">
        <f ca="1">'EF ele_warmte'!B22</f>
        <v>0.22548692778162097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81194.991404466113</v>
      </c>
      <c r="C12" s="24">
        <f ca="1">C10*C8</f>
        <v>0</v>
      </c>
      <c r="D12" s="24">
        <f>D8*D10</f>
        <v>238025.23713058812</v>
      </c>
      <c r="E12" s="24">
        <f>E10*E8</f>
        <v>6416.1661171722926</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62627</v>
      </c>
      <c r="C18" s="169" t="s">
        <v>111</v>
      </c>
      <c r="D18" s="231"/>
      <c r="E18" s="16"/>
    </row>
    <row r="19" spans="1:7">
      <c r="A19" s="174" t="s">
        <v>72</v>
      </c>
      <c r="B19" s="38">
        <f>aantalw2001_ander</f>
        <v>127</v>
      </c>
      <c r="C19" s="169" t="s">
        <v>111</v>
      </c>
      <c r="D19" s="232"/>
      <c r="E19" s="16"/>
    </row>
    <row r="20" spans="1:7">
      <c r="A20" s="174" t="s">
        <v>73</v>
      </c>
      <c r="B20" s="38">
        <f>aantalw2001_propaan</f>
        <v>385</v>
      </c>
      <c r="C20" s="170">
        <f>IF(ISERROR(B20/SUM($B$20,$B$21,$B$22)*100),0,B20/SUM($B$20,$B$21,$B$22)*100)</f>
        <v>4.0940025521054872</v>
      </c>
      <c r="D20" s="232"/>
      <c r="E20" s="16"/>
    </row>
    <row r="21" spans="1:7">
      <c r="A21" s="174" t="s">
        <v>74</v>
      </c>
      <c r="B21" s="38">
        <f>aantalw2001_elektriciteit</f>
        <v>8623</v>
      </c>
      <c r="C21" s="170">
        <f>IF(ISERROR(B21/SUM($B$20,$B$21,$B$22)*100),0,B21/SUM($B$20,$B$21,$B$22)*100)</f>
        <v>91.695023394300307</v>
      </c>
      <c r="D21" s="232"/>
      <c r="E21" s="16"/>
    </row>
    <row r="22" spans="1:7">
      <c r="A22" s="174" t="s">
        <v>75</v>
      </c>
      <c r="B22" s="38">
        <f>aantalw2001_hout</f>
        <v>396</v>
      </c>
      <c r="C22" s="170">
        <f>IF(ISERROR(B22/SUM($B$20,$B$21,$B$22)*100),0,B22/SUM($B$20,$B$21,$B$22)*100)</f>
        <v>4.2109740535942155</v>
      </c>
      <c r="D22" s="232"/>
      <c r="E22" s="16"/>
    </row>
    <row r="23" spans="1:7">
      <c r="A23" s="174" t="s">
        <v>76</v>
      </c>
      <c r="B23" s="38">
        <f>aantalw2001_niet_gespec</f>
        <v>4616</v>
      </c>
      <c r="C23" s="169" t="s">
        <v>111</v>
      </c>
      <c r="D23" s="231"/>
      <c r="E23" s="16"/>
    </row>
    <row r="24" spans="1:7">
      <c r="A24" s="174" t="s">
        <v>77</v>
      </c>
      <c r="B24" s="38">
        <f>aantalw2001_steenkool</f>
        <v>1823</v>
      </c>
      <c r="C24" s="169" t="s">
        <v>111</v>
      </c>
      <c r="D24" s="232"/>
      <c r="E24" s="16"/>
    </row>
    <row r="25" spans="1:7">
      <c r="A25" s="174" t="s">
        <v>78</v>
      </c>
      <c r="B25" s="38">
        <f>aantalw2001_stookolie</f>
        <v>21695</v>
      </c>
      <c r="C25" s="169" t="s">
        <v>111</v>
      </c>
      <c r="D25" s="231"/>
      <c r="E25" s="53"/>
    </row>
    <row r="26" spans="1:7">
      <c r="A26" s="174" t="s">
        <v>79</v>
      </c>
      <c r="B26" s="38">
        <f>aantalw2001_WP</f>
        <v>311</v>
      </c>
      <c r="C26" s="169" t="s">
        <v>111</v>
      </c>
      <c r="D26" s="231"/>
      <c r="E26" s="16"/>
    </row>
    <row r="27" spans="1:7" s="16" customFormat="1">
      <c r="A27" s="174"/>
      <c r="B27" s="30"/>
      <c r="C27" s="37"/>
      <c r="D27" s="231"/>
    </row>
    <row r="28" spans="1:7" s="16" customFormat="1">
      <c r="A28" s="233" t="s">
        <v>665</v>
      </c>
      <c r="B28" s="38">
        <f>aantalHuishoudens2011</f>
        <v>117337</v>
      </c>
      <c r="C28" s="37"/>
      <c r="D28" s="231"/>
    </row>
    <row r="29" spans="1:7" s="16" customFormat="1">
      <c r="A29" s="233" t="s">
        <v>666</v>
      </c>
      <c r="B29" s="38">
        <f>SUM(HH_hh_gas_aantal,HH_rest_gas_aantal)</f>
        <v>85932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85932</v>
      </c>
      <c r="C32" s="170">
        <f>IF(ISERROR(B32/SUM($B$32,$B$34,$B$35,$B$36,$B$38,$B$39)*100),0,B32/SUM($B$32,$B$34,$B$35,$B$36,$B$38,$B$39)*100)</f>
        <v>73.282052156708914</v>
      </c>
      <c r="D32" s="236"/>
      <c r="G32" s="16"/>
    </row>
    <row r="33" spans="1:7">
      <c r="A33" s="174" t="s">
        <v>72</v>
      </c>
      <c r="B33" s="35" t="s">
        <v>111</v>
      </c>
      <c r="C33" s="170"/>
      <c r="D33" s="236"/>
      <c r="G33" s="16"/>
    </row>
    <row r="34" spans="1:7">
      <c r="A34" s="174" t="s">
        <v>73</v>
      </c>
      <c r="B34" s="34">
        <f>IF((($B$28-$B$32-$B$39-$B$77-$B$38)*C20/100)&lt;0,0,($B$28-$B$32-$B$39-$B$77-$B$38)*C20/100)</f>
        <v>1282.6509995746492</v>
      </c>
      <c r="C34" s="170">
        <f>IF(ISERROR(B34/SUM($B$32,$B$34,$B$35,$B$36,$B$38,$B$39)*100),0,B34/SUM($B$32,$B$34,$B$35,$B$36,$B$38,$B$39)*100)</f>
        <v>1.0938334665745504</v>
      </c>
      <c r="D34" s="236"/>
      <c r="G34" s="16"/>
    </row>
    <row r="35" spans="1:7">
      <c r="A35" s="174" t="s">
        <v>74</v>
      </c>
      <c r="B35" s="34">
        <f>IF((($B$28-$B$32-$B$39-$B$77-$B$38)*C21/100)&lt;0,0,($B$28-$B$32-$B$39-$B$77-$B$38)*C21/100)</f>
        <v>28728.050829434287</v>
      </c>
      <c r="C35" s="170">
        <f>IF(ISERROR(B35/SUM($B$32,$B$34,$B$35,$B$36,$B$38,$B$39)*100),0,B35/SUM($B$32,$B$34,$B$35,$B$36,$B$38,$B$39)*100)</f>
        <v>24.49902852538272</v>
      </c>
      <c r="D35" s="236"/>
      <c r="G35" s="16"/>
    </row>
    <row r="36" spans="1:7">
      <c r="A36" s="174" t="s">
        <v>75</v>
      </c>
      <c r="B36" s="34">
        <f>IF((($B$28-$B$32-$B$39-$B$77-$B$38)*C22/100)&lt;0,0,($B$28-$B$32-$B$39-$B$77-$B$38)*C22/100)</f>
        <v>1319.2981709910675</v>
      </c>
      <c r="C36" s="170">
        <f>IF(ISERROR(B36/SUM($B$32,$B$34,$B$35,$B$36,$B$38,$B$39)*100),0,B36/SUM($B$32,$B$34,$B$35,$B$36,$B$38,$B$39)*100)</f>
        <v>1.1250858513338231</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85932</v>
      </c>
      <c r="C44" s="35" t="s">
        <v>111</v>
      </c>
      <c r="D44" s="177"/>
    </row>
    <row r="45" spans="1:7">
      <c r="A45" s="174" t="s">
        <v>72</v>
      </c>
      <c r="B45" s="34" t="str">
        <f t="shared" si="0"/>
        <v>-</v>
      </c>
      <c r="C45" s="35" t="s">
        <v>111</v>
      </c>
      <c r="D45" s="177"/>
    </row>
    <row r="46" spans="1:7">
      <c r="A46" s="174" t="s">
        <v>73</v>
      </c>
      <c r="B46" s="34">
        <f t="shared" si="0"/>
        <v>1282.6509995746492</v>
      </c>
      <c r="C46" s="35" t="s">
        <v>111</v>
      </c>
      <c r="D46" s="177"/>
    </row>
    <row r="47" spans="1:7">
      <c r="A47" s="174" t="s">
        <v>74</v>
      </c>
      <c r="B47" s="34">
        <f t="shared" si="0"/>
        <v>28728.050829434287</v>
      </c>
      <c r="C47" s="35" t="s">
        <v>111</v>
      </c>
      <c r="D47" s="177"/>
    </row>
    <row r="48" spans="1:7">
      <c r="A48" s="174" t="s">
        <v>75</v>
      </c>
      <c r="B48" s="34">
        <f t="shared" si="0"/>
        <v>1319.2981709910675</v>
      </c>
      <c r="C48" s="34">
        <f>B48*10</f>
        <v>13192.981709910675</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619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681737.63060332218</v>
      </c>
      <c r="C5" s="18">
        <f>IF(ISERROR('Eigen informatie GS &amp; warmtenet'!B58),0,'Eigen informatie GS &amp; warmtenet'!B58)</f>
        <v>0</v>
      </c>
      <c r="D5" s="31">
        <f>SUM(D6:D12)</f>
        <v>876184.33536998334</v>
      </c>
      <c r="E5" s="18">
        <f>SUM(E6:E12)</f>
        <v>6331.1436432460323</v>
      </c>
      <c r="F5" s="18">
        <f>SUM(F6:F12)</f>
        <v>148206.1783686993</v>
      </c>
      <c r="G5" s="19"/>
      <c r="H5" s="18"/>
      <c r="I5" s="18"/>
      <c r="J5" s="18">
        <f>SUM(J6:J12)</f>
        <v>0</v>
      </c>
      <c r="K5" s="18"/>
      <c r="L5" s="18"/>
      <c r="M5" s="18"/>
      <c r="N5" s="18">
        <f>SUM(N6:N12)</f>
        <v>27990.977885974149</v>
      </c>
      <c r="O5" s="18">
        <f>B38*B39*B40</f>
        <v>21.88666666666667</v>
      </c>
      <c r="P5" s="18">
        <f>B46*B47*B48/1000-B46*B47*B48/1000/B49</f>
        <v>228.8</v>
      </c>
      <c r="R5" s="33"/>
    </row>
    <row r="6" spans="1:18">
      <c r="A6" s="33" t="s">
        <v>54</v>
      </c>
      <c r="B6" s="38">
        <f>B26</f>
        <v>208032.39447030198</v>
      </c>
      <c r="C6" s="34"/>
      <c r="D6" s="38">
        <f>IF(ISERROR(TER_kantoor_gas_kWh/1000),0,TER_kantoor_gas_kWh/1000)*0.902</f>
        <v>296322.48670603469</v>
      </c>
      <c r="E6" s="34">
        <f>$C$26*'E Balans VL '!I12/100/3.6*1000000</f>
        <v>341.42332246793006</v>
      </c>
      <c r="F6" s="34">
        <f>$C$26*('E Balans VL '!L12+'E Balans VL '!N12)/100/3.6*1000000</f>
        <v>24522.124571613149</v>
      </c>
      <c r="G6" s="35"/>
      <c r="H6" s="34"/>
      <c r="I6" s="34"/>
      <c r="J6" s="34">
        <f>$C$26*('E Balans VL '!D12+'E Balans VL '!E12)/100/3.6*1000000</f>
        <v>0</v>
      </c>
      <c r="K6" s="34"/>
      <c r="L6" s="34"/>
      <c r="M6" s="34"/>
      <c r="N6" s="34">
        <f>$C$26*'E Balans VL '!Y12/100/3.6*1000000</f>
        <v>42.031960188687982</v>
      </c>
      <c r="O6" s="34"/>
      <c r="P6" s="34"/>
      <c r="R6" s="33"/>
    </row>
    <row r="7" spans="1:18">
      <c r="A7" s="33" t="s">
        <v>53</v>
      </c>
      <c r="B7" s="38">
        <f t="shared" ref="B7:B12" si="0">B27</f>
        <v>80417.387610832797</v>
      </c>
      <c r="C7" s="34"/>
      <c r="D7" s="38">
        <f>IF(ISERROR(TER_horeca_gas_kWh/1000),0,TER_horeca_gas_kWh/1000)*0.902</f>
        <v>152188.75728657798</v>
      </c>
      <c r="E7" s="34">
        <f>$C$27*'E Balans VL '!I9/100/3.6*1000000</f>
        <v>4173.0805043330029</v>
      </c>
      <c r="F7" s="34">
        <f>$C$27*('E Balans VL '!L9+'E Balans VL '!N9)/100/3.6*1000000</f>
        <v>18351.306203937693</v>
      </c>
      <c r="G7" s="35"/>
      <c r="H7" s="34"/>
      <c r="I7" s="34"/>
      <c r="J7" s="34">
        <f>$C$27*('E Balans VL '!D9+'E Balans VL '!E9)/100/3.6*1000000</f>
        <v>0</v>
      </c>
      <c r="K7" s="34"/>
      <c r="L7" s="34"/>
      <c r="M7" s="34"/>
      <c r="N7" s="34">
        <f>$C$27*'E Balans VL '!Y9/100/3.6*1000000</f>
        <v>8.4920392788282744</v>
      </c>
      <c r="O7" s="34"/>
      <c r="P7" s="34"/>
      <c r="R7" s="33"/>
    </row>
    <row r="8" spans="1:18">
      <c r="A8" s="6" t="s">
        <v>52</v>
      </c>
      <c r="B8" s="38">
        <f t="shared" si="0"/>
        <v>160766.614803865</v>
      </c>
      <c r="C8" s="34"/>
      <c r="D8" s="38">
        <f>IF(ISERROR(TER_handel_gas_kWh/1000),0,TER_handel_gas_kWh/1000)*0.902</f>
        <v>78352.633724721542</v>
      </c>
      <c r="E8" s="34">
        <f>$C$28*'E Balans VL '!I13/100/3.6*1000000</f>
        <v>865.74797631004208</v>
      </c>
      <c r="F8" s="34">
        <f>$C$28*('E Balans VL '!L13+'E Balans VL '!N13)/100/3.6*1000000</f>
        <v>32785.090312001266</v>
      </c>
      <c r="G8" s="35"/>
      <c r="H8" s="34"/>
      <c r="I8" s="34"/>
      <c r="J8" s="34">
        <f>$C$28*('E Balans VL '!D13+'E Balans VL '!E13)/100/3.6*1000000</f>
        <v>0</v>
      </c>
      <c r="K8" s="34"/>
      <c r="L8" s="34"/>
      <c r="M8" s="34"/>
      <c r="N8" s="34">
        <f>$C$28*'E Balans VL '!Y13/100/3.6*1000000</f>
        <v>799.40747700273175</v>
      </c>
      <c r="O8" s="34"/>
      <c r="P8" s="34"/>
      <c r="R8" s="33"/>
    </row>
    <row r="9" spans="1:18">
      <c r="A9" s="33" t="s">
        <v>51</v>
      </c>
      <c r="B9" s="38">
        <f t="shared" si="0"/>
        <v>54449.291594953203</v>
      </c>
      <c r="C9" s="34"/>
      <c r="D9" s="38">
        <f>IF(ISERROR(TER_gezond_gas_kWh/1000),0,TER_gezond_gas_kWh/1000)*0.902</f>
        <v>77925.453261805378</v>
      </c>
      <c r="E9" s="34">
        <f>$C$29*'E Balans VL '!I10/100/3.6*1000000</f>
        <v>53.959867165380032</v>
      </c>
      <c r="F9" s="34">
        <f>$C$29*('E Balans VL '!L10+'E Balans VL '!N10)/100/3.6*1000000</f>
        <v>18892.334742829113</v>
      </c>
      <c r="G9" s="35"/>
      <c r="H9" s="34"/>
      <c r="I9" s="34"/>
      <c r="J9" s="34">
        <f>$C$29*('E Balans VL '!D10+'E Balans VL '!E10)/100/3.6*1000000</f>
        <v>0</v>
      </c>
      <c r="K9" s="34"/>
      <c r="L9" s="34"/>
      <c r="M9" s="34"/>
      <c r="N9" s="34">
        <f>$C$29*'E Balans VL '!Y10/100/3.6*1000000</f>
        <v>469.18482875419522</v>
      </c>
      <c r="O9" s="34"/>
      <c r="P9" s="34"/>
      <c r="R9" s="33"/>
    </row>
    <row r="10" spans="1:18">
      <c r="A10" s="33" t="s">
        <v>50</v>
      </c>
      <c r="B10" s="38">
        <f t="shared" si="0"/>
        <v>38780.261348059401</v>
      </c>
      <c r="C10" s="34"/>
      <c r="D10" s="38">
        <f>IF(ISERROR(TER_ander_gas_kWh/1000),0,TER_ander_gas_kWh/1000)*0.902</f>
        <v>44401.90418855552</v>
      </c>
      <c r="E10" s="34">
        <f>$C$30*'E Balans VL '!I14/100/3.6*1000000</f>
        <v>317.26129593807451</v>
      </c>
      <c r="F10" s="34">
        <f>$C$30*('E Balans VL '!L14+'E Balans VL '!N14)/100/3.6*1000000</f>
        <v>11337.769608344313</v>
      </c>
      <c r="G10" s="35"/>
      <c r="H10" s="34"/>
      <c r="I10" s="34"/>
      <c r="J10" s="34">
        <f>$C$30*('E Balans VL '!D14+'E Balans VL '!E14)/100/3.6*1000000</f>
        <v>0</v>
      </c>
      <c r="K10" s="34"/>
      <c r="L10" s="34"/>
      <c r="M10" s="34"/>
      <c r="N10" s="34">
        <f>$C$30*'E Balans VL '!Y14/100/3.6*1000000</f>
        <v>22371.122397599938</v>
      </c>
      <c r="O10" s="34"/>
      <c r="P10" s="34"/>
      <c r="R10" s="33"/>
    </row>
    <row r="11" spans="1:18">
      <c r="A11" s="33" t="s">
        <v>55</v>
      </c>
      <c r="B11" s="38">
        <f t="shared" si="0"/>
        <v>77749.031778535093</v>
      </c>
      <c r="C11" s="34"/>
      <c r="D11" s="38">
        <f>IF(ISERROR(TER_onderwijs_gas_kWh/1000),0,TER_onderwijs_gas_kWh/1000)*0.902</f>
        <v>74503.472371418073</v>
      </c>
      <c r="E11" s="34">
        <f>$C$31*'E Balans VL '!I11/100/3.6*1000000</f>
        <v>47.921222630938601</v>
      </c>
      <c r="F11" s="34">
        <f>$C$31*('E Balans VL '!L11+'E Balans VL '!N11)/100/3.6*1000000</f>
        <v>30059.034805440861</v>
      </c>
      <c r="G11" s="35"/>
      <c r="H11" s="34"/>
      <c r="I11" s="34"/>
      <c r="J11" s="34">
        <f>$C$31*('E Balans VL '!D11+'E Balans VL '!E11)/100/3.6*1000000</f>
        <v>0</v>
      </c>
      <c r="K11" s="34"/>
      <c r="L11" s="34"/>
      <c r="M11" s="34"/>
      <c r="N11" s="34">
        <f>$C$31*'E Balans VL '!Y11/100/3.6*1000000</f>
        <v>252.90093911380643</v>
      </c>
      <c r="O11" s="34"/>
      <c r="P11" s="34"/>
      <c r="R11" s="33"/>
    </row>
    <row r="12" spans="1:18">
      <c r="A12" s="33" t="s">
        <v>260</v>
      </c>
      <c r="B12" s="38">
        <f t="shared" si="0"/>
        <v>61542.648996774704</v>
      </c>
      <c r="C12" s="34"/>
      <c r="D12" s="38">
        <f>IF(ISERROR(TER_rest_gas_kWh/1000),0,TER_rest_gas_kWh/1000)*0.902</f>
        <v>152489.62783087019</v>
      </c>
      <c r="E12" s="34">
        <f>$C$32*'E Balans VL '!I8/100/3.6*1000000</f>
        <v>531.74945440066449</v>
      </c>
      <c r="F12" s="34">
        <f>$C$32*('E Balans VL '!L8+'E Balans VL '!N8)/100/3.6*1000000</f>
        <v>12258.518124532926</v>
      </c>
      <c r="G12" s="35"/>
      <c r="H12" s="34"/>
      <c r="I12" s="34"/>
      <c r="J12" s="34">
        <f>$C$32*('E Balans VL '!D8+'E Balans VL '!E8)/100/3.6*1000000</f>
        <v>0</v>
      </c>
      <c r="K12" s="34"/>
      <c r="L12" s="34"/>
      <c r="M12" s="34"/>
      <c r="N12" s="34">
        <f>$C$32*'E Balans VL '!Y8/100/3.6*1000000</f>
        <v>4047.8382440359605</v>
      </c>
      <c r="O12" s="34"/>
      <c r="P12" s="34"/>
      <c r="R12" s="33"/>
    </row>
    <row r="13" spans="1:18">
      <c r="A13" s="17" t="s">
        <v>502</v>
      </c>
      <c r="B13" s="250">
        <f ca="1">'lokale energieproductie'!N90+'lokale energieproductie'!N59</f>
        <v>1982.25</v>
      </c>
      <c r="C13" s="250">
        <f ca="1">'lokale energieproductie'!O90+'lokale energieproductie'!O59</f>
        <v>176.78571428571433</v>
      </c>
      <c r="D13" s="312">
        <f ca="1">('lokale energieproductie'!P59+'lokale energieproductie'!P90)*(-1)</f>
        <v>-237.85714285714292</v>
      </c>
      <c r="E13" s="251"/>
      <c r="F13" s="312">
        <f ca="1">('lokale energieproductie'!S59+'lokale energieproductie'!S90)*(-1)</f>
        <v>0</v>
      </c>
      <c r="G13" s="252"/>
      <c r="H13" s="251"/>
      <c r="I13" s="251"/>
      <c r="J13" s="251"/>
      <c r="K13" s="251"/>
      <c r="L13" s="312">
        <f ca="1">('lokale energieproductie'!U59+'lokale energieproductie'!T59+'lokale energieproductie'!U90+'lokale energieproductie'!T90)*(-1)</f>
        <v>-115.71428571428572</v>
      </c>
      <c r="M13" s="251"/>
      <c r="N13" s="312">
        <f ca="1">('lokale energieproductie'!Q59+'lokale energieproductie'!R59+'lokale energieproductie'!V59+'lokale energieproductie'!Q90+'lokale energieproductie'!R90+'lokale energieproductie'!V90)*(-1)</f>
        <v>-5310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683719.88060332218</v>
      </c>
      <c r="C16" s="22">
        <f t="shared" ca="1" si="1"/>
        <v>176.78571428571433</v>
      </c>
      <c r="D16" s="22">
        <f t="shared" ca="1" si="1"/>
        <v>875946.47822712618</v>
      </c>
      <c r="E16" s="22">
        <f t="shared" si="1"/>
        <v>6331.1436432460323</v>
      </c>
      <c r="F16" s="22">
        <f t="shared" ca="1" si="1"/>
        <v>148206.1783686993</v>
      </c>
      <c r="G16" s="22">
        <f t="shared" si="1"/>
        <v>0</v>
      </c>
      <c r="H16" s="22">
        <f t="shared" si="1"/>
        <v>0</v>
      </c>
      <c r="I16" s="22">
        <f t="shared" si="1"/>
        <v>0</v>
      </c>
      <c r="J16" s="22">
        <f t="shared" si="1"/>
        <v>0</v>
      </c>
      <c r="K16" s="22">
        <f t="shared" si="1"/>
        <v>0</v>
      </c>
      <c r="L16" s="22">
        <f t="shared" ca="1" si="1"/>
        <v>0</v>
      </c>
      <c r="M16" s="22">
        <f t="shared" si="1"/>
        <v>0</v>
      </c>
      <c r="N16" s="22">
        <f t="shared" ca="1" si="1"/>
        <v>22680.977885974149</v>
      </c>
      <c r="O16" s="22">
        <f>O5</f>
        <v>21.88666666666667</v>
      </c>
      <c r="P16" s="22">
        <f>P5</f>
        <v>228.8</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0.2039416931967373</v>
      </c>
      <c r="C18" s="26">
        <f ca="1">'EF ele_warmte'!B22</f>
        <v>0.22548692778162097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139438.99012251259</v>
      </c>
      <c r="C20" s="24">
        <f t="shared" ref="C20:P20" ca="1" si="2">C16*C18</f>
        <v>39.862867589965148</v>
      </c>
      <c r="D20" s="24">
        <f t="shared" ca="1" si="2"/>
        <v>176941.18860187949</v>
      </c>
      <c r="E20" s="24">
        <f t="shared" si="2"/>
        <v>1437.1696070168493</v>
      </c>
      <c r="F20" s="24">
        <f t="shared" ca="1" si="2"/>
        <v>39571.049624442712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208032.39447030198</v>
      </c>
      <c r="C26" s="40">
        <f>IF(ISERROR(B26*3.6/1000000/'E Balans VL '!Z12*100),0,B26*3.6/1000000/'E Balans VL '!Z12*100)</f>
        <v>4.4205391960057474</v>
      </c>
      <c r="D26" s="240" t="s">
        <v>707</v>
      </c>
      <c r="F26" s="6"/>
    </row>
    <row r="27" spans="1:18">
      <c r="A27" s="234" t="s">
        <v>53</v>
      </c>
      <c r="B27" s="34">
        <f>IF(ISERROR(TER_horeca_ele_kWh/1000),0,TER_horeca_ele_kWh/1000)</f>
        <v>80417.387610832797</v>
      </c>
      <c r="C27" s="40">
        <f>IF(ISERROR(B27*3.6/1000000/'E Balans VL '!Z9*100),0,B27*3.6/1000000/'E Balans VL '!Z9*100)</f>
        <v>6.3294702699341192</v>
      </c>
      <c r="D27" s="240" t="s">
        <v>707</v>
      </c>
      <c r="F27" s="6"/>
    </row>
    <row r="28" spans="1:18">
      <c r="A28" s="174" t="s">
        <v>52</v>
      </c>
      <c r="B28" s="34">
        <f>IF(ISERROR(TER_handel_ele_kWh/1000),0,TER_handel_ele_kWh/1000)</f>
        <v>160766.614803865</v>
      </c>
      <c r="C28" s="40">
        <f>IF(ISERROR(B28*3.6/1000000/'E Balans VL '!Z13*100),0,B28*3.6/1000000/'E Balans VL '!Z13*100)</f>
        <v>4.5031589195517112</v>
      </c>
      <c r="D28" s="240" t="s">
        <v>707</v>
      </c>
      <c r="F28" s="6"/>
    </row>
    <row r="29" spans="1:18">
      <c r="A29" s="234" t="s">
        <v>51</v>
      </c>
      <c r="B29" s="34">
        <f>IF(ISERROR(TER_gezond_ele_kWh/1000),0,TER_gezond_ele_kWh/1000)</f>
        <v>54449.291594953203</v>
      </c>
      <c r="C29" s="40">
        <f>IF(ISERROR(B29*3.6/1000000/'E Balans VL '!Z10*100),0,B29*3.6/1000000/'E Balans VL '!Z10*100)</f>
        <v>6.9657108752613546</v>
      </c>
      <c r="D29" s="240" t="s">
        <v>707</v>
      </c>
      <c r="F29" s="6"/>
    </row>
    <row r="30" spans="1:18">
      <c r="A30" s="234" t="s">
        <v>50</v>
      </c>
      <c r="B30" s="34">
        <f>IF(ISERROR(TER_ander_ele_kWh/1000),0,TER_ander_ele_kWh/1000)</f>
        <v>38780.261348059401</v>
      </c>
      <c r="C30" s="40">
        <f>IF(ISERROR(B30*3.6/1000000/'E Balans VL '!Z14*100),0,B30*3.6/1000000/'E Balans VL '!Z14*100)</f>
        <v>2.9004367806444438</v>
      </c>
      <c r="D30" s="240" t="s">
        <v>707</v>
      </c>
      <c r="F30" s="6"/>
    </row>
    <row r="31" spans="1:18">
      <c r="A31" s="234" t="s">
        <v>55</v>
      </c>
      <c r="B31" s="34">
        <f>IF(ISERROR(TER_onderwijs_ele_kWh/1000),0,TER_onderwijs_ele_kWh/1000)</f>
        <v>77749.031778535093</v>
      </c>
      <c r="C31" s="40">
        <f>IF(ISERROR(B31*3.6/1000000/'E Balans VL '!Z11*100),0,B31*3.6/1000000/'E Balans VL '!Z11*100)</f>
        <v>16.416808770776143</v>
      </c>
      <c r="D31" s="240" t="s">
        <v>707</v>
      </c>
    </row>
    <row r="32" spans="1:18">
      <c r="A32" s="234" t="s">
        <v>260</v>
      </c>
      <c r="B32" s="34">
        <f>IF(ISERROR(TER_rest_ele_kWh/1000),0,TER_rest_ele_kWh/1000)</f>
        <v>61542.648996774704</v>
      </c>
      <c r="C32" s="40">
        <f>IF(ISERROR(B32*3.6/1000000/'E Balans VL '!Z8*100),0,B32*3.6/1000000/'E Balans VL '!Z8*100)</f>
        <v>0.5069841615626286</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14</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12</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379692.08163220499</v>
      </c>
      <c r="C5" s="18">
        <f>IF(ISERROR('Eigen informatie GS &amp; warmtenet'!B59),0,'Eigen informatie GS &amp; warmtenet'!B59)</f>
        <v>0</v>
      </c>
      <c r="D5" s="31">
        <f>SUM(D6:D15)</f>
        <v>284696.1158572727</v>
      </c>
      <c r="E5" s="18">
        <f>SUM(E6:E15)</f>
        <v>4605.0427103565962</v>
      </c>
      <c r="F5" s="18">
        <f>SUM(F6:F15)</f>
        <v>99046.361809887618</v>
      </c>
      <c r="G5" s="19"/>
      <c r="H5" s="18"/>
      <c r="I5" s="18"/>
      <c r="J5" s="18">
        <f>SUM(J6:J15)</f>
        <v>1700.7963586394421</v>
      </c>
      <c r="K5" s="18"/>
      <c r="L5" s="18"/>
      <c r="M5" s="18"/>
      <c r="N5" s="18">
        <f>SUM(N6:N15)</f>
        <v>14347.969417705302</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29211.522803481799</v>
      </c>
      <c r="C8" s="34"/>
      <c r="D8" s="38">
        <f>IF( ISERROR(IND_metaal_Gas_kWH/1000),0,IND_metaal_Gas_kWH/1000)*0.902</f>
        <v>37493.338800743746</v>
      </c>
      <c r="E8" s="34">
        <f>C30*'E Balans VL '!I18/100/3.6*1000000</f>
        <v>266.02407389400781</v>
      </c>
      <c r="F8" s="34">
        <f>C30*'E Balans VL '!L18/100/3.6*1000000+C30*'E Balans VL '!N18/100/3.6*1000000</f>
        <v>3852.7780216649253</v>
      </c>
      <c r="G8" s="35"/>
      <c r="H8" s="34"/>
      <c r="I8" s="34"/>
      <c r="J8" s="41">
        <f>C30*'E Balans VL '!D18/100/3.6*1000000+C30*'E Balans VL '!E18/100/3.6*1000000</f>
        <v>479.02656037325897</v>
      </c>
      <c r="K8" s="34"/>
      <c r="L8" s="34"/>
      <c r="M8" s="34"/>
      <c r="N8" s="34">
        <f>C30*'E Balans VL '!Y18/100/3.6*1000000</f>
        <v>100.38839962790041</v>
      </c>
      <c r="O8" s="34"/>
      <c r="P8" s="34"/>
      <c r="R8" s="33"/>
    </row>
    <row r="9" spans="1:18">
      <c r="A9" s="6" t="s">
        <v>33</v>
      </c>
      <c r="B9" s="38">
        <f t="shared" si="0"/>
        <v>50331.8369837809</v>
      </c>
      <c r="C9" s="34"/>
      <c r="D9" s="38">
        <f>IF( ISERROR(IND_andere_gas_kWh/1000),0,IND_andere_gas_kWh/1000)*0.902</f>
        <v>33208.630351595115</v>
      </c>
      <c r="E9" s="34">
        <f>C31*'E Balans VL '!I19/100/3.6*1000000</f>
        <v>290.92553923716758</v>
      </c>
      <c r="F9" s="34">
        <f>C31*'E Balans VL '!L19/100/3.6*1000000+C31*'E Balans VL '!N19/100/3.6*1000000</f>
        <v>40041.398192756358</v>
      </c>
      <c r="G9" s="35"/>
      <c r="H9" s="34"/>
      <c r="I9" s="34"/>
      <c r="J9" s="41">
        <f>C31*'E Balans VL '!D19/100/3.6*1000000+C31*'E Balans VL '!E19/100/3.6*1000000</f>
        <v>4.7608327084554487</v>
      </c>
      <c r="K9" s="34"/>
      <c r="L9" s="34"/>
      <c r="M9" s="34"/>
      <c r="N9" s="34">
        <f>C31*'E Balans VL '!Y19/100/3.6*1000000</f>
        <v>3813.3983386749601</v>
      </c>
      <c r="O9" s="34"/>
      <c r="P9" s="34"/>
      <c r="R9" s="33"/>
    </row>
    <row r="10" spans="1:18">
      <c r="A10" s="6" t="s">
        <v>41</v>
      </c>
      <c r="B10" s="38">
        <f t="shared" si="0"/>
        <v>31332.7732038832</v>
      </c>
      <c r="C10" s="34"/>
      <c r="D10" s="38">
        <f>IF( ISERROR(IND_voed_gas_kWh/1000),0,IND_voed_gas_kWh/1000)*0.902</f>
        <v>24870.54466166718</v>
      </c>
      <c r="E10" s="34">
        <f>C32*'E Balans VL '!I20/100/3.6*1000000</f>
        <v>308.08313186998265</v>
      </c>
      <c r="F10" s="34">
        <f>C32*'E Balans VL '!L20/100/3.6*1000000+C32*'E Balans VL '!N20/100/3.6*1000000</f>
        <v>3479.9134398376609</v>
      </c>
      <c r="G10" s="35"/>
      <c r="H10" s="34"/>
      <c r="I10" s="34"/>
      <c r="J10" s="41">
        <f>C32*'E Balans VL '!D20/100/3.6*1000000+C32*'E Balans VL '!E20/100/3.6*1000000</f>
        <v>0.12349668341963396</v>
      </c>
      <c r="K10" s="34"/>
      <c r="L10" s="34"/>
      <c r="M10" s="34"/>
      <c r="N10" s="34">
        <f>C32*'E Balans VL '!Y20/100/3.6*1000000</f>
        <v>463.96466869812673</v>
      </c>
      <c r="O10" s="34"/>
      <c r="P10" s="34"/>
      <c r="R10" s="33"/>
    </row>
    <row r="11" spans="1:18">
      <c r="A11" s="6" t="s">
        <v>40</v>
      </c>
      <c r="B11" s="38">
        <f t="shared" si="0"/>
        <v>376.231055267692</v>
      </c>
      <c r="C11" s="34"/>
      <c r="D11" s="38">
        <f>IF( ISERROR(IND_textiel_gas_kWh/1000),0,IND_textiel_gas_kWh/1000)*0.902</f>
        <v>507.51055010552182</v>
      </c>
      <c r="E11" s="34">
        <f>C33*'E Balans VL '!I21/100/3.6*1000000</f>
        <v>0.73260922803292072</v>
      </c>
      <c r="F11" s="34">
        <f>C33*'E Balans VL '!L21/100/3.6*1000000+C33*'E Balans VL '!N21/100/3.6*1000000</f>
        <v>12.409334806284123</v>
      </c>
      <c r="G11" s="35"/>
      <c r="H11" s="34"/>
      <c r="I11" s="34"/>
      <c r="J11" s="41">
        <f>C33*'E Balans VL '!D21/100/3.6*1000000+C33*'E Balans VL '!E21/100/3.6*1000000</f>
        <v>0</v>
      </c>
      <c r="K11" s="34"/>
      <c r="L11" s="34"/>
      <c r="M11" s="34"/>
      <c r="N11" s="34">
        <f>C33*'E Balans VL '!Y21/100/3.6*1000000</f>
        <v>3.9025055975047303</v>
      </c>
      <c r="O11" s="34"/>
      <c r="P11" s="34"/>
      <c r="R11" s="33"/>
    </row>
    <row r="12" spans="1:18">
      <c r="A12" s="6" t="s">
        <v>37</v>
      </c>
      <c r="B12" s="38">
        <f t="shared" si="0"/>
        <v>62835.648390747396</v>
      </c>
      <c r="C12" s="34"/>
      <c r="D12" s="38">
        <f>IF( ISERROR(IND_min_gas_kWh/1000),0,IND_min_gas_kWh/1000)*0.902</f>
        <v>480.67531401410713</v>
      </c>
      <c r="E12" s="34">
        <f>C34*'E Balans VL '!I22/100/3.6*1000000</f>
        <v>1592.9955024324731</v>
      </c>
      <c r="F12" s="34">
        <f>C34*'E Balans VL '!L22/100/3.6*1000000+C34*'E Balans VL '!N22/100/3.6*1000000</f>
        <v>17386.842929044869</v>
      </c>
      <c r="G12" s="35"/>
      <c r="H12" s="34"/>
      <c r="I12" s="34"/>
      <c r="J12" s="41">
        <f>C34*'E Balans VL '!D22/100/3.6*1000000+C34*'E Balans VL '!E22/100/3.6*1000000</f>
        <v>414.97924885434099</v>
      </c>
      <c r="K12" s="34"/>
      <c r="L12" s="34"/>
      <c r="M12" s="34"/>
      <c r="N12" s="34">
        <f>C34*'E Balans VL '!Y22/100/3.6*1000000</f>
        <v>0</v>
      </c>
      <c r="O12" s="34"/>
      <c r="P12" s="34"/>
      <c r="R12" s="33"/>
    </row>
    <row r="13" spans="1:18">
      <c r="A13" s="6" t="s">
        <v>39</v>
      </c>
      <c r="B13" s="38">
        <f t="shared" si="0"/>
        <v>13755.921090419899</v>
      </c>
      <c r="C13" s="34"/>
      <c r="D13" s="38">
        <f>IF( ISERROR(IND_papier_gas_kWh/1000),0,IND_papier_gas_kWh/1000)*0.902</f>
        <v>2759.9564026447979</v>
      </c>
      <c r="E13" s="34">
        <f>C35*'E Balans VL '!I23/100/3.6*1000000</f>
        <v>468.54661713580185</v>
      </c>
      <c r="F13" s="34">
        <f>C35*'E Balans VL '!L23/100/3.6*1000000+C35*'E Balans VL '!N23/100/3.6*1000000</f>
        <v>2272.1553196187874</v>
      </c>
      <c r="G13" s="35"/>
      <c r="H13" s="34"/>
      <c r="I13" s="34"/>
      <c r="J13" s="41">
        <f>C35*'E Balans VL '!D23/100/3.6*1000000+C35*'E Balans VL '!E23/100/3.6*1000000</f>
        <v>0</v>
      </c>
      <c r="K13" s="34"/>
      <c r="L13" s="34"/>
      <c r="M13" s="34"/>
      <c r="N13" s="34">
        <f>C35*'E Balans VL '!Y23/100/3.6*1000000</f>
        <v>5061.8100560684288</v>
      </c>
      <c r="O13" s="34"/>
      <c r="P13" s="34"/>
      <c r="R13" s="33"/>
    </row>
    <row r="14" spans="1:18">
      <c r="A14" s="6" t="s">
        <v>34</v>
      </c>
      <c r="B14" s="38">
        <f t="shared" si="0"/>
        <v>32384.470955121102</v>
      </c>
      <c r="C14" s="34"/>
      <c r="D14" s="38">
        <f>IF( ISERROR(IND_chemie_gas_kWh/1000),0,IND_chemie_gas_kWh/1000)*0.902</f>
        <v>7819.7191882283405</v>
      </c>
      <c r="E14" s="34">
        <f>C36*'E Balans VL '!I24/100/3.6*1000000</f>
        <v>244.84391661908117</v>
      </c>
      <c r="F14" s="34">
        <f>C36*'E Balans VL '!L24/100/3.6*1000000+C36*'E Balans VL '!N24/100/3.6*1000000</f>
        <v>599.20224970037668</v>
      </c>
      <c r="G14" s="35"/>
      <c r="H14" s="34"/>
      <c r="I14" s="34"/>
      <c r="J14" s="41">
        <f>C36*'E Balans VL '!D24/100/3.6*1000000+C36*'E Balans VL '!E24/100/3.6*1000000</f>
        <v>0</v>
      </c>
      <c r="K14" s="34"/>
      <c r="L14" s="34"/>
      <c r="M14" s="34"/>
      <c r="N14" s="34">
        <f>C36*'E Balans VL '!Y24/100/3.6*1000000</f>
        <v>9.3906615065329007</v>
      </c>
      <c r="O14" s="34"/>
      <c r="P14" s="34"/>
      <c r="R14" s="33"/>
    </row>
    <row r="15" spans="1:18">
      <c r="A15" s="6" t="s">
        <v>270</v>
      </c>
      <c r="B15" s="38">
        <f t="shared" si="0"/>
        <v>159463.677149503</v>
      </c>
      <c r="C15" s="34"/>
      <c r="D15" s="38">
        <f>IF( ISERROR(IND_rest_gas_kWh/1000),0,IND_rest_gas_kWh/1000)*0.902</f>
        <v>177555.74058827388</v>
      </c>
      <c r="E15" s="34">
        <f>C37*'E Balans VL '!I15/100/3.6*1000000</f>
        <v>1432.8913199400495</v>
      </c>
      <c r="F15" s="34">
        <f>C37*'E Balans VL '!L15/100/3.6*1000000+C37*'E Balans VL '!N15/100/3.6*1000000</f>
        <v>31401.662322458356</v>
      </c>
      <c r="G15" s="35"/>
      <c r="H15" s="34"/>
      <c r="I15" s="34"/>
      <c r="J15" s="41">
        <f>C37*'E Balans VL '!D15/100/3.6*1000000+C37*'E Balans VL '!E15/100/3.6*1000000</f>
        <v>801.90622001996701</v>
      </c>
      <c r="K15" s="34"/>
      <c r="L15" s="34"/>
      <c r="M15" s="34"/>
      <c r="N15" s="34">
        <f>C37*'E Balans VL '!Y15/100/3.6*1000000</f>
        <v>4895.1147875318475</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379692.08163220499</v>
      </c>
      <c r="C18" s="22">
        <f>C5+C16</f>
        <v>0</v>
      </c>
      <c r="D18" s="22">
        <f>MAX((D5+D16),0)</f>
        <v>284696.1158572727</v>
      </c>
      <c r="E18" s="22">
        <f>MAX((E5+E16),0)</f>
        <v>4605.0427103565962</v>
      </c>
      <c r="F18" s="22">
        <f>MAX((F5+F16),0)</f>
        <v>99046.361809887618</v>
      </c>
      <c r="G18" s="22"/>
      <c r="H18" s="22"/>
      <c r="I18" s="22"/>
      <c r="J18" s="22">
        <f>MAX((J5+J16),0)</f>
        <v>1700.7963586394421</v>
      </c>
      <c r="K18" s="22"/>
      <c r="L18" s="22">
        <f>MAX((L5+L16),0)</f>
        <v>0</v>
      </c>
      <c r="M18" s="22"/>
      <c r="N18" s="22">
        <f>MAX((N5+N16),0)</f>
        <v>14347.969417705302</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0.2039416931967373</v>
      </c>
      <c r="C20" s="26">
        <f ca="1">'EF ele_warmte'!B22</f>
        <v>0.22548692778162097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77435.046021465678</v>
      </c>
      <c r="C22" s="24">
        <f ca="1">C18*C20</f>
        <v>0</v>
      </c>
      <c r="D22" s="24">
        <f>D18*D20</f>
        <v>57508.615403169089</v>
      </c>
      <c r="E22" s="24">
        <f>E18*E20</f>
        <v>1045.3446952509473</v>
      </c>
      <c r="F22" s="24">
        <f>F18*F20</f>
        <v>26445.378603239995</v>
      </c>
      <c r="G22" s="24"/>
      <c r="H22" s="24"/>
      <c r="I22" s="24"/>
      <c r="J22" s="24">
        <f>J18*J20</f>
        <v>602.08191095836253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29211.522803481799</v>
      </c>
      <c r="C30" s="40">
        <f>IF(ISERROR(B30*3.6/1000000/'E Balans VL '!Z18*100),0,B30*3.6/1000000/'E Balans VL '!Z18*100)</f>
        <v>1.6254259082367055</v>
      </c>
      <c r="D30" s="240" t="s">
        <v>707</v>
      </c>
    </row>
    <row r="31" spans="1:18">
      <c r="A31" s="6" t="s">
        <v>33</v>
      </c>
      <c r="B31" s="38">
        <f>IF( ISERROR(IND_ander_ele_kWh/1000),0,IND_ander_ele_kWh/1000)</f>
        <v>50331.8369837809</v>
      </c>
      <c r="C31" s="40">
        <f>IF(ISERROR(B31*3.6/1000000/'E Balans VL '!Z19*100),0,B31*3.6/1000000/'E Balans VL '!Z19*100)</f>
        <v>2.3397949147357839</v>
      </c>
      <c r="D31" s="240" t="s">
        <v>707</v>
      </c>
    </row>
    <row r="32" spans="1:18">
      <c r="A32" s="174" t="s">
        <v>41</v>
      </c>
      <c r="B32" s="38">
        <f>IF( ISERROR(IND_voed_ele_kWh/1000),0,IND_voed_ele_kWh/1000)</f>
        <v>31332.7732038832</v>
      </c>
      <c r="C32" s="40">
        <f>IF(ISERROR(B32*3.6/1000000/'E Balans VL '!Z20*100),0,B32*3.6/1000000/'E Balans VL '!Z20*100)</f>
        <v>1.1075502535418833</v>
      </c>
      <c r="D32" s="240" t="s">
        <v>707</v>
      </c>
    </row>
    <row r="33" spans="1:5">
      <c r="A33" s="174" t="s">
        <v>40</v>
      </c>
      <c r="B33" s="38">
        <f>IF( ISERROR(IND_textiel_ele_kWh/1000),0,IND_textiel_ele_kWh/1000)</f>
        <v>376.231055267692</v>
      </c>
      <c r="C33" s="40">
        <f>IF(ISERROR(B33*3.6/1000000/'E Balans VL '!Z21*100),0,B33*3.6/1000000/'E Balans VL '!Z21*100)</f>
        <v>5.0815712920089087E-2</v>
      </c>
      <c r="D33" s="240" t="s">
        <v>707</v>
      </c>
    </row>
    <row r="34" spans="1:5">
      <c r="A34" s="174" t="s">
        <v>37</v>
      </c>
      <c r="B34" s="38">
        <f>IF( ISERROR(IND_min_ele_kWh/1000),0,IND_min_ele_kWh/1000)</f>
        <v>62835.648390747396</v>
      </c>
      <c r="C34" s="40">
        <f>IF(ISERROR(B34*3.6/1000000/'E Balans VL '!Z22*100),0,B34*3.6/1000000/'E Balans VL '!Z22*100)</f>
        <v>12.628193421117839</v>
      </c>
      <c r="D34" s="240" t="s">
        <v>707</v>
      </c>
    </row>
    <row r="35" spans="1:5">
      <c r="A35" s="174" t="s">
        <v>39</v>
      </c>
      <c r="B35" s="38">
        <f>IF( ISERROR(IND_papier_ele_kWh/1000),0,IND_papier_ele_kWh/1000)</f>
        <v>13755.921090419899</v>
      </c>
      <c r="C35" s="40">
        <f>IF(ISERROR(B35*3.6/1000000/'E Balans VL '!Z22*100),0,B35*3.6/1000000/'E Balans VL '!Z22*100)</f>
        <v>2.7645522353046332</v>
      </c>
      <c r="D35" s="240" t="s">
        <v>707</v>
      </c>
    </row>
    <row r="36" spans="1:5">
      <c r="A36" s="174" t="s">
        <v>34</v>
      </c>
      <c r="B36" s="38">
        <f>IF( ISERROR(IND_chemie_ele_kWh/1000),0,IND_chemie_ele_kWh/1000)</f>
        <v>32384.470955121102</v>
      </c>
      <c r="C36" s="40">
        <f>IF(ISERROR(B36*3.6/1000000/'E Balans VL '!Z24*100),0,B36*3.6/1000000/'E Balans VL '!Z24*100)</f>
        <v>0.79747484615222686</v>
      </c>
      <c r="D36" s="240" t="s">
        <v>707</v>
      </c>
    </row>
    <row r="37" spans="1:5">
      <c r="A37" s="174" t="s">
        <v>270</v>
      </c>
      <c r="B37" s="38">
        <f>IF( ISERROR(IND_rest_ele_kWh/1000),0,IND_rest_ele_kWh/1000)</f>
        <v>159463.677149503</v>
      </c>
      <c r="C37" s="40">
        <f>IF(ISERROR(B37*3.6/1000000/'E Balans VL '!Z15*100),0,B37*3.6/1000000/'E Balans VL '!Z15*100)</f>
        <v>1.2041863259506203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3010.8796630802976</v>
      </c>
      <c r="C5" s="18">
        <f>'Eigen informatie GS &amp; warmtenet'!B60</f>
        <v>0</v>
      </c>
      <c r="D5" s="31">
        <f>IF(ISERROR(SUM(LB_lb_gas_kWh,LB_rest_gas_kWh,onbekend_gas_kWh)/1000),0,SUM(LB_lb_gas_kWh,LB_rest_gas_kWh,onbekend_gas_kWh)/1000)*0.902</f>
        <v>71724.132068913284</v>
      </c>
      <c r="E5" s="18">
        <f>B17*'E Balans VL '!I25/3.6*1000000/100</f>
        <v>28.364503781766171</v>
      </c>
      <c r="F5" s="18">
        <f>B17*('E Balans VL '!L25/3.6*1000000+'E Balans VL '!N25/3.6*1000000)/100</f>
        <v>9825.4995638361434</v>
      </c>
      <c r="G5" s="19"/>
      <c r="H5" s="18"/>
      <c r="I5" s="18"/>
      <c r="J5" s="18">
        <f>('E Balans VL '!D25+'E Balans VL '!E25)/3.6*1000000*landbouw!B17/100</f>
        <v>372.4604592389008</v>
      </c>
      <c r="K5" s="18"/>
      <c r="L5" s="18">
        <f>L6*(-1)</f>
        <v>0</v>
      </c>
      <c r="M5" s="18"/>
      <c r="N5" s="18">
        <f>N6*(-1)</f>
        <v>0</v>
      </c>
      <c r="O5" s="18"/>
      <c r="P5" s="18"/>
      <c r="R5" s="33"/>
    </row>
    <row r="6" spans="1:18">
      <c r="A6" s="17" t="s">
        <v>502</v>
      </c>
      <c r="B6" s="18" t="s">
        <v>211</v>
      </c>
      <c r="C6" s="18">
        <f>'lokale energieproductie'!O91+'lokale energieproductie'!O60</f>
        <v>977.78571428571433</v>
      </c>
      <c r="D6" s="312">
        <f>('lokale energieproductie'!P60+'lokale energieproductie'!P91)*(-1)</f>
        <v>-1940.5714285714289</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3010.8796630802976</v>
      </c>
      <c r="C8" s="22">
        <f>C5+C6</f>
        <v>977.78571428571433</v>
      </c>
      <c r="D8" s="22">
        <f>MAX((D5+D6),0)</f>
        <v>69783.56064034185</v>
      </c>
      <c r="E8" s="22">
        <f>MAX((E5+E6),0)</f>
        <v>28.364503781766171</v>
      </c>
      <c r="F8" s="22">
        <f>MAX((F5+F6),0)</f>
        <v>9825.4995638361434</v>
      </c>
      <c r="G8" s="22"/>
      <c r="H8" s="22"/>
      <c r="I8" s="22"/>
      <c r="J8" s="22">
        <f>MAX((J5+J6),0)</f>
        <v>372.4604592389008</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0.2039416931967373</v>
      </c>
      <c r="C10" s="32">
        <f ca="1">'EF ele_warmte'!B22</f>
        <v>0.22548692778162097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614.04389650021778</v>
      </c>
      <c r="C12" s="24">
        <f ca="1">C8*C10</f>
        <v>220.47789674304354</v>
      </c>
      <c r="D12" s="24">
        <f>D8*D10</f>
        <v>14096.279249349054</v>
      </c>
      <c r="E12" s="24">
        <f>E8*E10</f>
        <v>6.4387423584609209</v>
      </c>
      <c r="F12" s="24">
        <f>F8*F10</f>
        <v>2623.4083835442502</v>
      </c>
      <c r="G12" s="24"/>
      <c r="H12" s="24"/>
      <c r="I12" s="24"/>
      <c r="J12" s="24">
        <f>J8*J10</f>
        <v>131.85100257057087</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0.40762499406206121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434.31870665786647</v>
      </c>
      <c r="C26" s="250">
        <f>B26*'GWP N2O_CH4'!B5</f>
        <v>9120.6928398151958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97.322920864270358</v>
      </c>
      <c r="C27" s="250">
        <f>B27*'GWP N2O_CH4'!B5</f>
        <v>2043.7813381496776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5.5062971728291252</v>
      </c>
      <c r="C28" s="250">
        <f>B28*'GWP N2O_CH4'!B4</f>
        <v>1706.9521235770287</v>
      </c>
      <c r="D28" s="51"/>
    </row>
    <row r="29" spans="1:4">
      <c r="A29" s="42" t="s">
        <v>277</v>
      </c>
      <c r="B29" s="250">
        <f>B34*'ha_N2O bodem landbouw'!B4</f>
        <v>17.731898006061602</v>
      </c>
      <c r="C29" s="250">
        <f>B29*'GWP N2O_CH4'!B4</f>
        <v>5496.8883818790964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4.7870542567558516E-3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1.4553762370083027E-4</v>
      </c>
      <c r="C5" s="447" t="s">
        <v>211</v>
      </c>
      <c r="D5" s="432">
        <f>SUM(D6:D11)</f>
        <v>4.1615879165494811E-4</v>
      </c>
      <c r="E5" s="432">
        <f>SUM(E6:E11)</f>
        <v>2.6766378329140139E-2</v>
      </c>
      <c r="F5" s="445" t="s">
        <v>211</v>
      </c>
      <c r="G5" s="432">
        <f>SUM(G6:G11)</f>
        <v>6.1999243585486834</v>
      </c>
      <c r="H5" s="432">
        <f>SUM(H6:H11)</f>
        <v>0.94684276344156282</v>
      </c>
      <c r="I5" s="447" t="s">
        <v>211</v>
      </c>
      <c r="J5" s="447" t="s">
        <v>211</v>
      </c>
      <c r="K5" s="447" t="s">
        <v>211</v>
      </c>
      <c r="L5" s="447" t="s">
        <v>211</v>
      </c>
      <c r="M5" s="432">
        <f>SUM(M6:M11)</f>
        <v>0.31939707846789378</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4.5562603538028001E-5</v>
      </c>
      <c r="C6" s="433"/>
      <c r="D6" s="433">
        <f>vkm_2011_GW_PW*SUMIFS(TableVerdeelsleutelVkm[CNG],TableVerdeelsleutelVkm[Voertuigtype],"Lichte voertuigen")*SUMIFS(TableECFTransport[EnergieConsumptieFactor (PJ per km)],TableECFTransport[Index],CONCATENATE($A6,"_CNG_CNG"))</f>
        <v>1.1126464088163588E-4</v>
      </c>
      <c r="E6" s="435">
        <f>vkm_2011_GW_PW*SUMIFS(TableVerdeelsleutelVkm[LPG],TableVerdeelsleutelVkm[Voertuigtype],"Lichte voertuigen")*SUMIFS(TableECFTransport[EnergieConsumptieFactor (PJ per km)],TableECFTransport[Index],CONCATENATE($A6,"_LPG_LPG"))</f>
        <v>6.5951929112626224E-3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0.95341271771909497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0.24986208227418519</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5.3884861510157409E-2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0.81416327844017911</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3.2848314129239539E-4</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3.627072215415543E-2</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2.8167767242676628E-5</v>
      </c>
      <c r="C8" s="433"/>
      <c r="D8" s="435">
        <f>vkm_2011_NGW_PW*SUMIFS(TableVerdeelsleutelVkm[CNG],TableVerdeelsleutelVkm[Voertuigtype],"Lichte voertuigen")*SUMIFS(TableECFTransport[EnergieConsumptieFactor (PJ per km)],TableECFTransport[Index],CONCATENATE($A8,"_CNG_CNG"))</f>
        <v>1.2341405669114084E-4</v>
      </c>
      <c r="E8" s="435">
        <f>vkm_2011_NGW_PW*SUMIFS(TableVerdeelsleutelVkm[LPG],TableVerdeelsleutelVkm[Voertuigtype],"Lichte voertuigen")*SUMIFS(TableECFTransport[EnergieConsumptieFactor (PJ per km)],TableECFTransport[Index],CONCATENATE($A8,"_LPG_LPG"))</f>
        <v>6.711097739924711E-3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0.91650323371006759</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0.2653937323439774</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5.2951624495939049E-2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0.37098549734807468</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1.3032413643995148E-4</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1.6526403907598193E-2</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7.1807252920125638E-5</v>
      </c>
      <c r="C10" s="433"/>
      <c r="D10" s="435">
        <f>vkm_2011_SW_PW*SUMIFS(TableVerdeelsleutelVkm[CNG],TableVerdeelsleutelVkm[Voertuigtype],"Lichte voertuigen")*SUMIFS(TableECFTransport[EnergieConsumptieFactor (PJ per km)],TableECFTransport[Index],CONCATENATE($A10,"_CNG_CNG"))</f>
        <v>1.8148009408217142E-4</v>
      </c>
      <c r="E10" s="435">
        <f>vkm_2011_SW_PW*SUMIFS(TableVerdeelsleutelVkm[LPG],TableVerdeelsleutelVkm[Voertuigtype],"Lichte voertuigen")*SUMIFS(TableECFTransport[EnergieConsumptieFactor (PJ per km)],TableECFTransport[Index],CONCATENATE($A10,"_LPG_LPG"))</f>
        <v>1.3460087677952804E-2</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1.7732912688503746</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0.43054103979524899</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9.865897758552919E-2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1.3715683624808921</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5.8710175041887486E-4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6.1104488814514496E-2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40.427117694675076</v>
      </c>
      <c r="C14" s="22"/>
      <c r="D14" s="22">
        <f t="shared" ref="D14:M14" si="0">((D5)*10^9/3600)+D12</f>
        <v>115.59966434859669</v>
      </c>
      <c r="E14" s="22">
        <f t="shared" si="0"/>
        <v>7435.1050914278158</v>
      </c>
      <c r="F14" s="22"/>
      <c r="G14" s="22">
        <f t="shared" si="0"/>
        <v>1722201.2107079676</v>
      </c>
      <c r="H14" s="22">
        <f t="shared" si="0"/>
        <v>263011.87873376743</v>
      </c>
      <c r="I14" s="22"/>
      <c r="J14" s="22"/>
      <c r="K14" s="22"/>
      <c r="L14" s="22"/>
      <c r="M14" s="22">
        <f t="shared" si="0"/>
        <v>88721.410685526047</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0.2039416931967373</v>
      </c>
      <c r="C16" s="57">
        <f ca="1">'EF ele_warmte'!B22</f>
        <v>0.22548692778162097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8.2447748337158142</v>
      </c>
      <c r="C18" s="24"/>
      <c r="D18" s="24">
        <f t="shared" ref="D18:M18" si="1">D14*D16</f>
        <v>23.351132198416533</v>
      </c>
      <c r="E18" s="24">
        <f t="shared" si="1"/>
        <v>1687.7688557541142</v>
      </c>
      <c r="F18" s="24"/>
      <c r="G18" s="24">
        <f t="shared" si="1"/>
        <v>459827.72325902741</v>
      </c>
      <c r="H18" s="24">
        <f t="shared" si="1"/>
        <v>65489.957804708087</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3.107191451937575E-2</v>
      </c>
      <c r="C50" s="323">
        <f t="shared" ref="C50:P50" si="2">SUM(C51:C52)</f>
        <v>0</v>
      </c>
      <c r="D50" s="323">
        <f t="shared" si="2"/>
        <v>0</v>
      </c>
      <c r="E50" s="323">
        <f t="shared" si="2"/>
        <v>0</v>
      </c>
      <c r="F50" s="323">
        <f t="shared" si="2"/>
        <v>0</v>
      </c>
      <c r="G50" s="323">
        <f t="shared" si="2"/>
        <v>0.14090844873884095</v>
      </c>
      <c r="H50" s="323">
        <f t="shared" si="2"/>
        <v>0</v>
      </c>
      <c r="I50" s="323">
        <f t="shared" si="2"/>
        <v>0</v>
      </c>
      <c r="J50" s="323">
        <f t="shared" si="2"/>
        <v>0</v>
      </c>
      <c r="K50" s="323">
        <f t="shared" si="2"/>
        <v>0</v>
      </c>
      <c r="L50" s="323">
        <f t="shared" si="2"/>
        <v>0</v>
      </c>
      <c r="M50" s="323">
        <f t="shared" si="2"/>
        <v>6.1875224271482664E-3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0.14090844873884095</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6.1875224271482664E-3</v>
      </c>
      <c r="N51" s="325"/>
      <c r="O51" s="325"/>
      <c r="P51" s="328"/>
    </row>
    <row r="52" spans="1:18">
      <c r="A52" s="4" t="s">
        <v>330</v>
      </c>
      <c r="B52" s="329">
        <f>vkm_2011_tram*SUMIFS(TableECFTransport[EnergieConsumptieFactor (PJ per km)],TableECFTransport[Index],"Tram_gemiddeld_Electric_Electric")</f>
        <v>3.107191451937575E-2</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8631.0873664932642</v>
      </c>
      <c r="C54" s="22">
        <f t="shared" ref="C54:P54" si="3">(C50)*10^9/3600</f>
        <v>0</v>
      </c>
      <c r="D54" s="22">
        <f t="shared" si="3"/>
        <v>0</v>
      </c>
      <c r="E54" s="22">
        <f t="shared" si="3"/>
        <v>0</v>
      </c>
      <c r="F54" s="22">
        <f t="shared" si="3"/>
        <v>0</v>
      </c>
      <c r="G54" s="22">
        <f t="shared" si="3"/>
        <v>39141.235760789146</v>
      </c>
      <c r="H54" s="22">
        <f t="shared" si="3"/>
        <v>0</v>
      </c>
      <c r="I54" s="22">
        <f t="shared" si="3"/>
        <v>0</v>
      </c>
      <c r="J54" s="22">
        <f t="shared" si="3"/>
        <v>0</v>
      </c>
      <c r="K54" s="22">
        <f t="shared" si="3"/>
        <v>0</v>
      </c>
      <c r="L54" s="22">
        <f t="shared" si="3"/>
        <v>0</v>
      </c>
      <c r="M54" s="22">
        <f t="shared" si="3"/>
        <v>1718.7562297634074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0.2039416931967373</v>
      </c>
      <c r="C56" s="57">
        <f ca="1">'EF ele_warmte'!B22</f>
        <v>0.22548692778162097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1760.2385716516046</v>
      </c>
      <c r="C58" s="24">
        <f t="shared" ref="C58:P58" ca="1" si="4">C54*C56</f>
        <v>0</v>
      </c>
      <c r="D58" s="24">
        <f t="shared" si="4"/>
        <v>0</v>
      </c>
      <c r="E58" s="24">
        <f t="shared" si="4"/>
        <v>0</v>
      </c>
      <c r="F58" s="24">
        <f t="shared" si="4"/>
        <v>0</v>
      </c>
      <c r="G58" s="24">
        <f t="shared" si="4"/>
        <v>10450.709948130703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69777.959571853862</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43289.776081576572</v>
      </c>
      <c r="C6" s="1190"/>
      <c r="D6" s="1193"/>
      <c r="E6" s="1193"/>
      <c r="F6" s="1196"/>
      <c r="G6" s="1199"/>
      <c r="H6" s="1187"/>
      <c r="I6" s="1193"/>
      <c r="J6" s="1193"/>
      <c r="K6" s="1193"/>
      <c r="L6" s="1223"/>
      <c r="M6" s="560"/>
      <c r="N6" s="1235"/>
      <c r="O6" s="1236"/>
      <c r="Q6" s="558"/>
      <c r="R6" s="1220"/>
      <c r="S6" s="1220"/>
    </row>
    <row r="7" spans="1:19" s="548" customFormat="1">
      <c r="A7" s="561" t="s">
        <v>252</v>
      </c>
      <c r="B7" s="562">
        <f>N57</f>
        <v>796.95</v>
      </c>
      <c r="C7" s="563">
        <f>B100</f>
        <v>889.61290641367725</v>
      </c>
      <c r="D7" s="564"/>
      <c r="E7" s="564">
        <f>E100</f>
        <v>0</v>
      </c>
      <c r="F7" s="565"/>
      <c r="G7" s="566"/>
      <c r="H7" s="564">
        <f>I100</f>
        <v>0</v>
      </c>
      <c r="I7" s="564">
        <f>G100+F100</f>
        <v>47.254669433738513</v>
      </c>
      <c r="J7" s="564">
        <f>H100+D100+C100</f>
        <v>0</v>
      </c>
      <c r="K7" s="564"/>
      <c r="L7" s="567"/>
      <c r="M7" s="568">
        <f>C7*$C$11+D7*$D$11+E7*$E$11+F7*$F$11+G7*$G$11+H7*$H$11+I7*$I$11+J7*$J$11</f>
        <v>179.70180709556283</v>
      </c>
      <c r="N7" s="1235"/>
      <c r="O7" s="1236"/>
      <c r="Q7" s="558"/>
      <c r="R7" s="1220"/>
      <c r="S7" s="1220"/>
    </row>
    <row r="8" spans="1:19" s="548" customFormat="1" ht="17.45" customHeight="1" thickBot="1">
      <c r="A8" s="569" t="s">
        <v>248</v>
      </c>
      <c r="B8" s="570">
        <f>N88+'Eigen informatie GS &amp; warmtenet'!B12</f>
        <v>1858.5</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115723.18565343042</v>
      </c>
      <c r="C9" s="579">
        <f t="shared" ref="C9:L9" si="0">SUM(C7:C8)</f>
        <v>889.61290641367725</v>
      </c>
      <c r="D9" s="579">
        <f t="shared" si="0"/>
        <v>0</v>
      </c>
      <c r="E9" s="579">
        <f t="shared" si="0"/>
        <v>0</v>
      </c>
      <c r="F9" s="579">
        <f t="shared" si="0"/>
        <v>0</v>
      </c>
      <c r="G9" s="579">
        <f t="shared" si="0"/>
        <v>0</v>
      </c>
      <c r="H9" s="579">
        <f t="shared" si="0"/>
        <v>0</v>
      </c>
      <c r="I9" s="579">
        <f t="shared" si="0"/>
        <v>47.254669433738513</v>
      </c>
      <c r="J9" s="579">
        <f t="shared" si="0"/>
        <v>5310</v>
      </c>
      <c r="K9" s="579">
        <f t="shared" si="0"/>
        <v>0</v>
      </c>
      <c r="L9" s="579">
        <f t="shared" si="0"/>
        <v>0</v>
      </c>
      <c r="M9" s="580">
        <f>SUM(M4:M8)</f>
        <v>179.70180709556283</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1154.5714285714287</v>
      </c>
      <c r="C16" s="595">
        <f>B101</f>
        <v>1288.8156650148944</v>
      </c>
      <c r="D16" s="596"/>
      <c r="E16" s="596">
        <f>E101</f>
        <v>0</v>
      </c>
      <c r="F16" s="597"/>
      <c r="G16" s="598"/>
      <c r="H16" s="595">
        <f>I101</f>
        <v>0</v>
      </c>
      <c r="I16" s="596">
        <f>G101+F101</f>
        <v>68.459616280547209</v>
      </c>
      <c r="J16" s="596">
        <f>H101+D101+C101</f>
        <v>0</v>
      </c>
      <c r="K16" s="596"/>
      <c r="L16" s="599"/>
      <c r="M16" s="600">
        <f>C16*$C$21+E16*$E$21+H16*$H$21+I16*$I$21+J16*$J$21+D16*$D$21+F16*$F$21+G16*$G$21+K16*$K$21+L16*$L$21</f>
        <v>260.34076433300868</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1154.5714285714287</v>
      </c>
      <c r="C19" s="578">
        <f>SUM(C16:C18)</f>
        <v>1288.8156650148944</v>
      </c>
      <c r="D19" s="578">
        <f t="shared" ref="D19:M19" si="1">SUM(D16:D18)</f>
        <v>0</v>
      </c>
      <c r="E19" s="578">
        <f t="shared" si="1"/>
        <v>0</v>
      </c>
      <c r="F19" s="578">
        <f t="shared" si="1"/>
        <v>0</v>
      </c>
      <c r="G19" s="578">
        <f t="shared" si="1"/>
        <v>0</v>
      </c>
      <c r="H19" s="578">
        <f t="shared" si="1"/>
        <v>0</v>
      </c>
      <c r="I19" s="578">
        <f t="shared" si="1"/>
        <v>68.459616280547209</v>
      </c>
      <c r="J19" s="578">
        <f t="shared" si="1"/>
        <v>0</v>
      </c>
      <c r="K19" s="578">
        <f t="shared" si="1"/>
        <v>0</v>
      </c>
      <c r="L19" s="578">
        <f t="shared" si="1"/>
        <v>0</v>
      </c>
      <c r="M19" s="605">
        <f t="shared" si="1"/>
        <v>260.34076433300868</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63.75">
      <c r="A27" s="609"/>
      <c r="B27" s="840">
        <v>44021</v>
      </c>
      <c r="C27" s="840">
        <v>9031</v>
      </c>
      <c r="D27" s="657" t="s">
        <v>914</v>
      </c>
      <c r="E27" s="656" t="s">
        <v>915</v>
      </c>
      <c r="F27" s="656" t="s">
        <v>916</v>
      </c>
      <c r="G27" s="656" t="s">
        <v>917</v>
      </c>
      <c r="H27" s="656" t="s">
        <v>918</v>
      </c>
      <c r="I27" s="656" t="s">
        <v>915</v>
      </c>
      <c r="J27" s="839">
        <v>40096</v>
      </c>
      <c r="K27" s="839">
        <v>40179</v>
      </c>
      <c r="L27" s="656" t="s">
        <v>919</v>
      </c>
      <c r="M27" s="656">
        <v>9</v>
      </c>
      <c r="N27" s="656">
        <v>40.5</v>
      </c>
      <c r="O27" s="656">
        <v>57.857142857142861</v>
      </c>
      <c r="P27" s="656">
        <v>0</v>
      </c>
      <c r="Q27" s="656">
        <v>0</v>
      </c>
      <c r="R27" s="656">
        <v>0</v>
      </c>
      <c r="S27" s="656">
        <v>0</v>
      </c>
      <c r="T27" s="656">
        <v>0</v>
      </c>
      <c r="U27" s="656">
        <v>115.71428571428572</v>
      </c>
      <c r="V27" s="656">
        <v>0</v>
      </c>
      <c r="W27" s="656"/>
      <c r="X27" s="656">
        <v>1600</v>
      </c>
      <c r="Y27" s="656" t="s">
        <v>50</v>
      </c>
      <c r="Z27" s="658" t="s">
        <v>156</v>
      </c>
    </row>
    <row r="28" spans="1:26" s="610" customFormat="1" ht="25.5">
      <c r="A28" s="609"/>
      <c r="B28" s="840">
        <v>44021</v>
      </c>
      <c r="C28" s="840">
        <v>9000</v>
      </c>
      <c r="D28" s="657" t="s">
        <v>920</v>
      </c>
      <c r="E28" s="656" t="s">
        <v>921</v>
      </c>
      <c r="F28" s="656" t="s">
        <v>922</v>
      </c>
      <c r="G28" s="656" t="s">
        <v>917</v>
      </c>
      <c r="H28" s="656" t="s">
        <v>918</v>
      </c>
      <c r="I28" s="656" t="s">
        <v>921</v>
      </c>
      <c r="J28" s="839">
        <v>40928</v>
      </c>
      <c r="K28" s="839">
        <v>41030</v>
      </c>
      <c r="L28" s="656" t="s">
        <v>919</v>
      </c>
      <c r="M28" s="656">
        <v>5</v>
      </c>
      <c r="N28" s="656">
        <v>4.5</v>
      </c>
      <c r="O28" s="656">
        <v>6.4285714285714288</v>
      </c>
      <c r="P28" s="656">
        <v>12.857142857142858</v>
      </c>
      <c r="Q28" s="656">
        <v>0</v>
      </c>
      <c r="R28" s="656">
        <v>0</v>
      </c>
      <c r="S28" s="656">
        <v>0</v>
      </c>
      <c r="T28" s="656">
        <v>0</v>
      </c>
      <c r="U28" s="656">
        <v>0</v>
      </c>
      <c r="V28" s="656">
        <v>0</v>
      </c>
      <c r="W28" s="656"/>
      <c r="X28" s="656">
        <v>1300</v>
      </c>
      <c r="Y28" s="656" t="s">
        <v>54</v>
      </c>
      <c r="Z28" s="658" t="s">
        <v>156</v>
      </c>
    </row>
    <row r="29" spans="1:26" s="610" customFormat="1" ht="25.5">
      <c r="A29" s="609"/>
      <c r="B29" s="840">
        <v>44021</v>
      </c>
      <c r="C29" s="840">
        <v>9052</v>
      </c>
      <c r="D29" s="657" t="s">
        <v>923</v>
      </c>
      <c r="E29" s="656" t="s">
        <v>924</v>
      </c>
      <c r="F29" s="656" t="s">
        <v>925</v>
      </c>
      <c r="G29" s="656" t="s">
        <v>926</v>
      </c>
      <c r="H29" s="656" t="s">
        <v>926</v>
      </c>
      <c r="I29" s="656" t="s">
        <v>924</v>
      </c>
      <c r="J29" s="839">
        <v>40983</v>
      </c>
      <c r="K29" s="839">
        <v>41275</v>
      </c>
      <c r="L29" s="656" t="s">
        <v>919</v>
      </c>
      <c r="M29" s="656">
        <v>1</v>
      </c>
      <c r="N29" s="656">
        <v>4.5</v>
      </c>
      <c r="O29" s="656">
        <v>22.5</v>
      </c>
      <c r="P29" s="656">
        <v>30</v>
      </c>
      <c r="Q29" s="656">
        <v>0</v>
      </c>
      <c r="R29" s="656">
        <v>0</v>
      </c>
      <c r="S29" s="656">
        <v>0</v>
      </c>
      <c r="T29" s="656">
        <v>0</v>
      </c>
      <c r="U29" s="656">
        <v>0</v>
      </c>
      <c r="V29" s="656">
        <v>0</v>
      </c>
      <c r="W29" s="656"/>
      <c r="X29" s="656">
        <v>10</v>
      </c>
      <c r="Y29" s="656" t="s">
        <v>112</v>
      </c>
      <c r="Z29" s="658" t="s">
        <v>112</v>
      </c>
    </row>
    <row r="30" spans="1:26" s="610" customFormat="1" ht="25.5">
      <c r="A30" s="609"/>
      <c r="B30" s="840">
        <v>44021</v>
      </c>
      <c r="C30" s="840">
        <v>9040</v>
      </c>
      <c r="D30" s="657" t="s">
        <v>927</v>
      </c>
      <c r="E30" s="656" t="s">
        <v>928</v>
      </c>
      <c r="F30" s="656" t="s">
        <v>929</v>
      </c>
      <c r="G30" s="656" t="s">
        <v>917</v>
      </c>
      <c r="H30" s="656" t="s">
        <v>918</v>
      </c>
      <c r="I30" s="656" t="s">
        <v>928</v>
      </c>
      <c r="J30" s="839">
        <v>41003</v>
      </c>
      <c r="K30" s="839">
        <v>41003</v>
      </c>
      <c r="L30" s="656" t="s">
        <v>919</v>
      </c>
      <c r="M30" s="656">
        <v>70</v>
      </c>
      <c r="N30" s="656">
        <v>78.750000000000014</v>
      </c>
      <c r="O30" s="656">
        <v>112.50000000000003</v>
      </c>
      <c r="P30" s="656">
        <v>225.00000000000006</v>
      </c>
      <c r="Q30" s="656">
        <v>0</v>
      </c>
      <c r="R30" s="656">
        <v>0</v>
      </c>
      <c r="S30" s="656">
        <v>0</v>
      </c>
      <c r="T30" s="656">
        <v>0</v>
      </c>
      <c r="U30" s="656">
        <v>0</v>
      </c>
      <c r="V30" s="656">
        <v>0</v>
      </c>
      <c r="W30" s="656"/>
      <c r="X30" s="656">
        <v>1300</v>
      </c>
      <c r="Y30" s="656" t="s">
        <v>54</v>
      </c>
      <c r="Z30" s="658" t="s">
        <v>156</v>
      </c>
    </row>
    <row r="31" spans="1:26" s="610" customFormat="1" ht="25.5">
      <c r="A31" s="609"/>
      <c r="B31" s="840">
        <v>44021</v>
      </c>
      <c r="C31" s="840">
        <v>9050</v>
      </c>
      <c r="D31" s="657" t="s">
        <v>930</v>
      </c>
      <c r="E31" s="656" t="s">
        <v>931</v>
      </c>
      <c r="F31" s="656" t="s">
        <v>932</v>
      </c>
      <c r="G31" s="656" t="s">
        <v>917</v>
      </c>
      <c r="H31" s="656" t="s">
        <v>918</v>
      </c>
      <c r="I31" s="656" t="s">
        <v>933</v>
      </c>
      <c r="J31" s="839">
        <v>41183</v>
      </c>
      <c r="K31" s="839">
        <v>41183</v>
      </c>
      <c r="L31" s="656" t="s">
        <v>934</v>
      </c>
      <c r="M31" s="656">
        <v>1486</v>
      </c>
      <c r="N31" s="656">
        <v>668.7</v>
      </c>
      <c r="O31" s="656">
        <v>955.28571428571433</v>
      </c>
      <c r="P31" s="656">
        <v>1910.5714285714289</v>
      </c>
      <c r="Q31" s="656">
        <v>0</v>
      </c>
      <c r="R31" s="656">
        <v>0</v>
      </c>
      <c r="S31" s="656">
        <v>0</v>
      </c>
      <c r="T31" s="656">
        <v>0</v>
      </c>
      <c r="U31" s="656">
        <v>0</v>
      </c>
      <c r="V31" s="656">
        <v>0</v>
      </c>
      <c r="W31" s="656"/>
      <c r="X31" s="656">
        <v>10</v>
      </c>
      <c r="Y31" s="656" t="s">
        <v>112</v>
      </c>
      <c r="Z31" s="658" t="s">
        <v>112</v>
      </c>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1571</v>
      </c>
      <c r="N57" s="614">
        <f>SUM(N27:N56)</f>
        <v>796.95</v>
      </c>
      <c r="O57" s="614">
        <f t="shared" ref="O57:W57" si="2">SUM(O27:O56)</f>
        <v>1154.5714285714287</v>
      </c>
      <c r="P57" s="614">
        <f t="shared" si="2"/>
        <v>2178.4285714285716</v>
      </c>
      <c r="Q57" s="614">
        <f t="shared" si="2"/>
        <v>0</v>
      </c>
      <c r="R57" s="614">
        <f t="shared" si="2"/>
        <v>0</v>
      </c>
      <c r="S57" s="614">
        <f t="shared" si="2"/>
        <v>0</v>
      </c>
      <c r="T57" s="614">
        <f t="shared" si="2"/>
        <v>0</v>
      </c>
      <c r="U57" s="614">
        <f t="shared" si="2"/>
        <v>115.71428571428572</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84</v>
      </c>
      <c r="N59" s="614">
        <f ca="1">SUMIF($Z$27:AB56,"tertiair",N27:N56)</f>
        <v>123.75000000000001</v>
      </c>
      <c r="O59" s="614">
        <f ca="1">SUMIF($Z$27:AC56,"tertiair",O27:O56)</f>
        <v>176.78571428571433</v>
      </c>
      <c r="P59" s="614">
        <f ca="1">SUMIF($Z$27:AD56,"tertiair",P27:P56)</f>
        <v>237.85714285714292</v>
      </c>
      <c r="Q59" s="614">
        <f ca="1">SUMIF($Z$27:AE56,"tertiair",Q27:Q56)</f>
        <v>0</v>
      </c>
      <c r="R59" s="614">
        <f ca="1">SUMIF($Z$27:AF56,"tertiair",R27:R56)</f>
        <v>0</v>
      </c>
      <c r="S59" s="614">
        <f ca="1">SUMIF($Z$27:AG56,"tertiair",S27:S56)</f>
        <v>0</v>
      </c>
      <c r="T59" s="614">
        <f ca="1">SUMIF($Z$27:AH56,"tertiair",T27:T56)</f>
        <v>0</v>
      </c>
      <c r="U59" s="614">
        <f ca="1">SUMIF($Z$27:AI56,"tertiair",U27:U56)</f>
        <v>115.71428571428572</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1487</v>
      </c>
      <c r="N60" s="619">
        <f t="shared" ref="N60:W60" si="4">SUMIF($Z$27:$Z$56,"landbouw",N27:N56)</f>
        <v>673.2</v>
      </c>
      <c r="O60" s="619">
        <f t="shared" si="4"/>
        <v>977.78571428571433</v>
      </c>
      <c r="P60" s="619">
        <f t="shared" si="4"/>
        <v>1940.5714285714289</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63.75">
      <c r="A63" s="611"/>
      <c r="B63" s="840">
        <v>44021</v>
      </c>
      <c r="C63" s="840">
        <v>9000</v>
      </c>
      <c r="D63" s="659" t="s">
        <v>935</v>
      </c>
      <c r="E63" s="659" t="s">
        <v>936</v>
      </c>
      <c r="F63" s="659" t="s">
        <v>937</v>
      </c>
      <c r="G63" s="659" t="s">
        <v>938</v>
      </c>
      <c r="H63" s="659" t="s">
        <v>939</v>
      </c>
      <c r="I63" s="659" t="s">
        <v>940</v>
      </c>
      <c r="J63" s="839">
        <v>38292</v>
      </c>
      <c r="K63" s="839">
        <v>38687</v>
      </c>
      <c r="L63" s="659" t="s">
        <v>941</v>
      </c>
      <c r="M63" s="659">
        <v>413</v>
      </c>
      <c r="N63" s="659">
        <v>1858.5</v>
      </c>
      <c r="O63" s="659">
        <v>0</v>
      </c>
      <c r="P63" s="659">
        <v>0</v>
      </c>
      <c r="Q63" s="659">
        <v>5310</v>
      </c>
      <c r="R63" s="659">
        <v>0</v>
      </c>
      <c r="S63" s="659">
        <v>0</v>
      </c>
      <c r="T63" s="659">
        <v>0</v>
      </c>
      <c r="U63" s="659">
        <v>0</v>
      </c>
      <c r="V63" s="659">
        <v>0</v>
      </c>
      <c r="W63" s="659"/>
      <c r="X63" s="659">
        <v>1600</v>
      </c>
      <c r="Y63" s="659" t="s">
        <v>50</v>
      </c>
      <c r="Z63" s="660" t="s">
        <v>156</v>
      </c>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413</v>
      </c>
      <c r="N88" s="614">
        <f t="shared" ref="N88:W88" si="5">SUM(N63:N87)</f>
        <v>1858.5</v>
      </c>
      <c r="O88" s="614">
        <f t="shared" si="5"/>
        <v>0</v>
      </c>
      <c r="P88" s="614">
        <f t="shared" si="5"/>
        <v>0</v>
      </c>
      <c r="Q88" s="614">
        <f t="shared" si="5"/>
        <v>5310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413</v>
      </c>
      <c r="N90" s="614">
        <f t="shared" ref="N90:W90" si="7">SUMIF($Z$63:$Z$88,"tertiair",N63:N88)</f>
        <v>1858.5</v>
      </c>
      <c r="O90" s="614">
        <f t="shared" si="7"/>
        <v>0</v>
      </c>
      <c r="P90" s="614">
        <f t="shared" si="7"/>
        <v>0</v>
      </c>
      <c r="Q90" s="614">
        <f t="shared" si="7"/>
        <v>5310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0.59162631353559314</v>
      </c>
      <c r="C97" s="639">
        <f>IF(ISERROR(N57/(O57+N57)),0,N57/(N57+O57))</f>
        <v>0.40837368646440686</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889.61290641367725</v>
      </c>
      <c r="C100" s="648">
        <f t="shared" si="9"/>
        <v>0</v>
      </c>
      <c r="D100" s="648">
        <f t="shared" si="9"/>
        <v>0</v>
      </c>
      <c r="E100" s="648">
        <f t="shared" si="9"/>
        <v>0</v>
      </c>
      <c r="F100" s="648">
        <f t="shared" si="9"/>
        <v>0</v>
      </c>
      <c r="G100" s="648">
        <f t="shared" si="9"/>
        <v>47.254669433738513</v>
      </c>
      <c r="H100" s="648">
        <f t="shared" si="9"/>
        <v>0</v>
      </c>
      <c r="I100" s="649">
        <f t="shared" si="9"/>
        <v>0</v>
      </c>
      <c r="J100" s="606"/>
      <c r="K100" s="606"/>
      <c r="L100" s="644"/>
      <c r="M100" s="631"/>
      <c r="N100" s="631"/>
    </row>
    <row r="101" spans="1:14" ht="15.75" thickBot="1">
      <c r="A101" s="650" t="s">
        <v>286</v>
      </c>
      <c r="B101" s="651">
        <f>$B$97*P57</f>
        <v>1288.8156650148944</v>
      </c>
      <c r="C101" s="651">
        <f t="shared" ref="C101:H101" si="10">$B$97*Q57</f>
        <v>0</v>
      </c>
      <c r="D101" s="651">
        <f t="shared" si="10"/>
        <v>0</v>
      </c>
      <c r="E101" s="651">
        <f t="shared" si="10"/>
        <v>0</v>
      </c>
      <c r="F101" s="651">
        <f t="shared" si="10"/>
        <v>0</v>
      </c>
      <c r="G101" s="651">
        <f t="shared" si="10"/>
        <v>68.459616280547209</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699221.74160332221</v>
      </c>
      <c r="D10" s="703">
        <f ca="1">tertiair!C16</f>
        <v>176.78571428571433</v>
      </c>
      <c r="E10" s="703">
        <f ca="1">tertiair!D16</f>
        <v>875946.47822712618</v>
      </c>
      <c r="F10" s="703">
        <f>tertiair!E16</f>
        <v>6331.1436432460323</v>
      </c>
      <c r="G10" s="703">
        <f ca="1">tertiair!F16</f>
        <v>148206.1783686993</v>
      </c>
      <c r="H10" s="703">
        <f>tertiair!G16</f>
        <v>0</v>
      </c>
      <c r="I10" s="703">
        <f>tertiair!H16</f>
        <v>0</v>
      </c>
      <c r="J10" s="703">
        <f>tertiair!I16</f>
        <v>0</v>
      </c>
      <c r="K10" s="703">
        <f>tertiair!J16</f>
        <v>0</v>
      </c>
      <c r="L10" s="703">
        <f>tertiair!K16</f>
        <v>0</v>
      </c>
      <c r="M10" s="703">
        <f ca="1">tertiair!L16</f>
        <v>0</v>
      </c>
      <c r="N10" s="703">
        <f>tertiair!M16</f>
        <v>0</v>
      </c>
      <c r="O10" s="703">
        <f ca="1">tertiair!N16</f>
        <v>22680.977885974149</v>
      </c>
      <c r="P10" s="703">
        <f>tertiair!O16</f>
        <v>21.88666666666667</v>
      </c>
      <c r="Q10" s="704">
        <f>tertiair!P16</f>
        <v>228.8</v>
      </c>
      <c r="R10" s="706">
        <f ca="1">SUM(C10:Q10)</f>
        <v>1752813.9921093204</v>
      </c>
      <c r="S10" s="68"/>
    </row>
    <row r="11" spans="1:19" s="458" customFormat="1">
      <c r="A11" s="859" t="s">
        <v>225</v>
      </c>
      <c r="B11" s="864"/>
      <c r="C11" s="703">
        <f>huishoudens!B8</f>
        <v>398128.45589224069</v>
      </c>
      <c r="D11" s="703">
        <f>huishoudens!C8</f>
        <v>0</v>
      </c>
      <c r="E11" s="703">
        <f>huishoudens!D8</f>
        <v>1178342.7580722184</v>
      </c>
      <c r="F11" s="703">
        <f>huishoudens!E8</f>
        <v>28265.048974327281</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94414.572973151866</v>
      </c>
      <c r="P11" s="703">
        <f>huishoudens!O8</f>
        <v>967.70333333333338</v>
      </c>
      <c r="Q11" s="704">
        <f>huishoudens!P8</f>
        <v>1430</v>
      </c>
      <c r="R11" s="706">
        <f>SUM(C11:Q11)</f>
        <v>1701548.5392452716</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379692.08163220499</v>
      </c>
      <c r="D13" s="703">
        <f>industrie!C18</f>
        <v>0</v>
      </c>
      <c r="E13" s="703">
        <f>industrie!D18</f>
        <v>284696.1158572727</v>
      </c>
      <c r="F13" s="703">
        <f>industrie!E18</f>
        <v>4605.0427103565962</v>
      </c>
      <c r="G13" s="703">
        <f>industrie!F18</f>
        <v>99046.361809887618</v>
      </c>
      <c r="H13" s="703">
        <f>industrie!G18</f>
        <v>0</v>
      </c>
      <c r="I13" s="703">
        <f>industrie!H18</f>
        <v>0</v>
      </c>
      <c r="J13" s="703">
        <f>industrie!I18</f>
        <v>0</v>
      </c>
      <c r="K13" s="703">
        <f>industrie!J18</f>
        <v>1700.7963586394421</v>
      </c>
      <c r="L13" s="703">
        <f>industrie!K18</f>
        <v>0</v>
      </c>
      <c r="M13" s="703">
        <f>industrie!L18</f>
        <v>0</v>
      </c>
      <c r="N13" s="703">
        <f>industrie!M18</f>
        <v>0</v>
      </c>
      <c r="O13" s="703">
        <f>industrie!N18</f>
        <v>14347.969417705302</v>
      </c>
      <c r="P13" s="703">
        <f>industrie!O18</f>
        <v>0</v>
      </c>
      <c r="Q13" s="704">
        <f>industrie!P18</f>
        <v>0</v>
      </c>
      <c r="R13" s="706">
        <f>SUM(C13:Q13)</f>
        <v>784088.36778606672</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1477042.279127768</v>
      </c>
      <c r="D15" s="708">
        <f t="shared" ref="D15:Q15" ca="1" si="0">SUM(D9:D14)</f>
        <v>176.78571428571433</v>
      </c>
      <c r="E15" s="708">
        <f t="shared" ca="1" si="0"/>
        <v>2338985.3521566172</v>
      </c>
      <c r="F15" s="708">
        <f t="shared" si="0"/>
        <v>39201.235327929906</v>
      </c>
      <c r="G15" s="708">
        <f t="shared" ca="1" si="0"/>
        <v>247252.5401785869</v>
      </c>
      <c r="H15" s="708">
        <f t="shared" si="0"/>
        <v>0</v>
      </c>
      <c r="I15" s="708">
        <f t="shared" si="0"/>
        <v>0</v>
      </c>
      <c r="J15" s="708">
        <f t="shared" si="0"/>
        <v>0</v>
      </c>
      <c r="K15" s="708">
        <f t="shared" si="0"/>
        <v>1700.7963586394421</v>
      </c>
      <c r="L15" s="708">
        <f t="shared" si="0"/>
        <v>0</v>
      </c>
      <c r="M15" s="708">
        <f t="shared" ca="1" si="0"/>
        <v>0</v>
      </c>
      <c r="N15" s="708">
        <f t="shared" si="0"/>
        <v>0</v>
      </c>
      <c r="O15" s="708">
        <f t="shared" ca="1" si="0"/>
        <v>131443.52027683132</v>
      </c>
      <c r="P15" s="708">
        <f t="shared" si="0"/>
        <v>989.59</v>
      </c>
      <c r="Q15" s="709">
        <f t="shared" si="0"/>
        <v>1658.8</v>
      </c>
      <c r="R15" s="710">
        <f ca="1">SUM(R9:R14)</f>
        <v>4238450.8991406588</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8631.0873664932642</v>
      </c>
      <c r="D18" s="703">
        <f>transport!C54</f>
        <v>0</v>
      </c>
      <c r="E18" s="703">
        <f>transport!D54</f>
        <v>0</v>
      </c>
      <c r="F18" s="703">
        <f>transport!E54</f>
        <v>0</v>
      </c>
      <c r="G18" s="703">
        <f>transport!F54</f>
        <v>0</v>
      </c>
      <c r="H18" s="703">
        <f>transport!G54</f>
        <v>39141.235760789146</v>
      </c>
      <c r="I18" s="703">
        <f>transport!H54</f>
        <v>0</v>
      </c>
      <c r="J18" s="703">
        <f>transport!I54</f>
        <v>0</v>
      </c>
      <c r="K18" s="703">
        <f>transport!J54</f>
        <v>0</v>
      </c>
      <c r="L18" s="703">
        <f>transport!K54</f>
        <v>0</v>
      </c>
      <c r="M18" s="703">
        <f>transport!L54</f>
        <v>0</v>
      </c>
      <c r="N18" s="703">
        <f>transport!M54</f>
        <v>1718.7562297634074</v>
      </c>
      <c r="O18" s="703">
        <f>transport!N54</f>
        <v>0</v>
      </c>
      <c r="P18" s="703">
        <f>transport!O54</f>
        <v>0</v>
      </c>
      <c r="Q18" s="704">
        <f>transport!P54</f>
        <v>0</v>
      </c>
      <c r="R18" s="706">
        <f>SUM(C18:Q18)</f>
        <v>49491.079357045819</v>
      </c>
      <c r="S18" s="68"/>
    </row>
    <row r="19" spans="1:19" s="458" customFormat="1" ht="15" thickBot="1">
      <c r="A19" s="859" t="s">
        <v>307</v>
      </c>
      <c r="B19" s="864"/>
      <c r="C19" s="712">
        <f>transport!B14</f>
        <v>40.427117694675076</v>
      </c>
      <c r="D19" s="712">
        <f>transport!C14</f>
        <v>0</v>
      </c>
      <c r="E19" s="712">
        <f>transport!D14</f>
        <v>115.59966434859669</v>
      </c>
      <c r="F19" s="712">
        <f>transport!E14</f>
        <v>7435.1050914278158</v>
      </c>
      <c r="G19" s="712">
        <f>transport!F14</f>
        <v>0</v>
      </c>
      <c r="H19" s="712">
        <f>transport!G14</f>
        <v>1722201.2107079676</v>
      </c>
      <c r="I19" s="712">
        <f>transport!H14</f>
        <v>263011.87873376743</v>
      </c>
      <c r="J19" s="712">
        <f>transport!I14</f>
        <v>0</v>
      </c>
      <c r="K19" s="712">
        <f>transport!J14</f>
        <v>0</v>
      </c>
      <c r="L19" s="712">
        <f>transport!K14</f>
        <v>0</v>
      </c>
      <c r="M19" s="712">
        <f>transport!L14</f>
        <v>0</v>
      </c>
      <c r="N19" s="712">
        <f>transport!M14</f>
        <v>88721.410685526047</v>
      </c>
      <c r="O19" s="712">
        <f>transport!N14</f>
        <v>0</v>
      </c>
      <c r="P19" s="712">
        <f>transport!O14</f>
        <v>0</v>
      </c>
      <c r="Q19" s="713">
        <f>transport!P14</f>
        <v>0</v>
      </c>
      <c r="R19" s="714">
        <f>SUM(C19:Q19)</f>
        <v>2081525.6320007322</v>
      </c>
      <c r="S19" s="68"/>
    </row>
    <row r="20" spans="1:19" s="458" customFormat="1" ht="15.75" thickBot="1">
      <c r="A20" s="715" t="s">
        <v>230</v>
      </c>
      <c r="B20" s="867"/>
      <c r="C20" s="862">
        <f>SUM(C17:C19)</f>
        <v>8671.5144841879392</v>
      </c>
      <c r="D20" s="716">
        <f t="shared" ref="D20:R20" si="1">SUM(D17:D19)</f>
        <v>0</v>
      </c>
      <c r="E20" s="716">
        <f t="shared" si="1"/>
        <v>115.59966434859669</v>
      </c>
      <c r="F20" s="716">
        <f t="shared" si="1"/>
        <v>7435.1050914278158</v>
      </c>
      <c r="G20" s="716">
        <f t="shared" si="1"/>
        <v>0</v>
      </c>
      <c r="H20" s="716">
        <f t="shared" si="1"/>
        <v>1761342.4464687568</v>
      </c>
      <c r="I20" s="716">
        <f t="shared" si="1"/>
        <v>263011.87873376743</v>
      </c>
      <c r="J20" s="716">
        <f t="shared" si="1"/>
        <v>0</v>
      </c>
      <c r="K20" s="716">
        <f t="shared" si="1"/>
        <v>0</v>
      </c>
      <c r="L20" s="716">
        <f t="shared" si="1"/>
        <v>0</v>
      </c>
      <c r="M20" s="716">
        <f t="shared" si="1"/>
        <v>0</v>
      </c>
      <c r="N20" s="716">
        <f t="shared" si="1"/>
        <v>90440.166915289461</v>
      </c>
      <c r="O20" s="716">
        <f t="shared" si="1"/>
        <v>0</v>
      </c>
      <c r="P20" s="716">
        <f t="shared" si="1"/>
        <v>0</v>
      </c>
      <c r="Q20" s="717">
        <f t="shared" si="1"/>
        <v>0</v>
      </c>
      <c r="R20" s="718">
        <f t="shared" si="1"/>
        <v>2131016.7113577779</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3010.8796630802976</v>
      </c>
      <c r="D22" s="712">
        <f>+landbouw!C8</f>
        <v>977.78571428571433</v>
      </c>
      <c r="E22" s="712">
        <f>+landbouw!D8</f>
        <v>69783.56064034185</v>
      </c>
      <c r="F22" s="712">
        <f>+landbouw!E8</f>
        <v>28.364503781766171</v>
      </c>
      <c r="G22" s="712">
        <f>+landbouw!F8</f>
        <v>9825.4995638361434</v>
      </c>
      <c r="H22" s="712">
        <f>+landbouw!G8</f>
        <v>0</v>
      </c>
      <c r="I22" s="712">
        <f>+landbouw!H8</f>
        <v>0</v>
      </c>
      <c r="J22" s="712">
        <f>+landbouw!I8</f>
        <v>0</v>
      </c>
      <c r="K22" s="712">
        <f>+landbouw!J8</f>
        <v>372.4604592389008</v>
      </c>
      <c r="L22" s="712">
        <f>+landbouw!K8</f>
        <v>0</v>
      </c>
      <c r="M22" s="712">
        <f>+landbouw!L8</f>
        <v>0</v>
      </c>
      <c r="N22" s="712">
        <f>+landbouw!M8</f>
        <v>0</v>
      </c>
      <c r="O22" s="712">
        <f>+landbouw!N8</f>
        <v>0</v>
      </c>
      <c r="P22" s="712">
        <f>+landbouw!O8</f>
        <v>0</v>
      </c>
      <c r="Q22" s="713">
        <f>+landbouw!P8</f>
        <v>0</v>
      </c>
      <c r="R22" s="714">
        <f>SUM(C22:Q22)</f>
        <v>83998.55054456467</v>
      </c>
      <c r="S22" s="68"/>
    </row>
    <row r="23" spans="1:19" s="458" customFormat="1" ht="17.25" thickTop="1" thickBot="1">
      <c r="A23" s="719" t="s">
        <v>116</v>
      </c>
      <c r="B23" s="853"/>
      <c r="C23" s="720">
        <f ca="1">C20+C15+C22</f>
        <v>1488724.6732750363</v>
      </c>
      <c r="D23" s="720">
        <f t="shared" ref="D23:Q23" ca="1" si="2">D20+D15+D22</f>
        <v>1154.5714285714287</v>
      </c>
      <c r="E23" s="720">
        <f t="shared" ca="1" si="2"/>
        <v>2408884.5124613079</v>
      </c>
      <c r="F23" s="720">
        <f t="shared" si="2"/>
        <v>46664.704923139492</v>
      </c>
      <c r="G23" s="720">
        <f t="shared" ca="1" si="2"/>
        <v>257078.03974242305</v>
      </c>
      <c r="H23" s="720">
        <f t="shared" si="2"/>
        <v>1761342.4464687568</v>
      </c>
      <c r="I23" s="720">
        <f t="shared" si="2"/>
        <v>263011.87873376743</v>
      </c>
      <c r="J23" s="720">
        <f t="shared" si="2"/>
        <v>0</v>
      </c>
      <c r="K23" s="720">
        <f t="shared" si="2"/>
        <v>2073.2568178783431</v>
      </c>
      <c r="L23" s="720">
        <f t="shared" si="2"/>
        <v>0</v>
      </c>
      <c r="M23" s="720">
        <f t="shared" ca="1" si="2"/>
        <v>0</v>
      </c>
      <c r="N23" s="720">
        <f t="shared" si="2"/>
        <v>90440.166915289461</v>
      </c>
      <c r="O23" s="720">
        <f t="shared" ca="1" si="2"/>
        <v>131443.52027683132</v>
      </c>
      <c r="P23" s="720">
        <f t="shared" si="2"/>
        <v>989.59</v>
      </c>
      <c r="Q23" s="721">
        <f t="shared" si="2"/>
        <v>1658.8</v>
      </c>
      <c r="R23" s="722">
        <f ca="1">R20+R15+R22</f>
        <v>6453466.1610430013</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142600.46590255306</v>
      </c>
      <c r="D36" s="703">
        <f ca="1">tertiair!C20</f>
        <v>39.862867589965148</v>
      </c>
      <c r="E36" s="703">
        <f ca="1">tertiair!D20</f>
        <v>176941.18860187949</v>
      </c>
      <c r="F36" s="703">
        <f>tertiair!E20</f>
        <v>1437.1696070168493</v>
      </c>
      <c r="G36" s="703">
        <f ca="1">tertiair!F20</f>
        <v>39571.049624442712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360589.73660348204</v>
      </c>
    </row>
    <row r="37" spans="1:18">
      <c r="A37" s="874" t="s">
        <v>225</v>
      </c>
      <c r="B37" s="881"/>
      <c r="C37" s="703">
        <f ca="1">huishoudens!B12</f>
        <v>81194.991404466113</v>
      </c>
      <c r="D37" s="703">
        <f ca="1">huishoudens!C12</f>
        <v>0</v>
      </c>
      <c r="E37" s="703">
        <f>huishoudens!D12</f>
        <v>238025.23713058812</v>
      </c>
      <c r="F37" s="703">
        <f>huishoudens!E12</f>
        <v>6416.1661171722926</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325636.39465222653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77435.046021465678</v>
      </c>
      <c r="D39" s="703">
        <f ca="1">industrie!C22</f>
        <v>0</v>
      </c>
      <c r="E39" s="703">
        <f>industrie!D22</f>
        <v>57508.615403169089</v>
      </c>
      <c r="F39" s="703">
        <f>industrie!E22</f>
        <v>1045.3446952509473</v>
      </c>
      <c r="G39" s="703">
        <f>industrie!F22</f>
        <v>26445.378603239995</v>
      </c>
      <c r="H39" s="703">
        <f>industrie!G22</f>
        <v>0</v>
      </c>
      <c r="I39" s="703">
        <f>industrie!H22</f>
        <v>0</v>
      </c>
      <c r="J39" s="703">
        <f>industrie!I22</f>
        <v>0</v>
      </c>
      <c r="K39" s="703">
        <f>industrie!J22</f>
        <v>602.08191095836253</v>
      </c>
      <c r="L39" s="703">
        <f>industrie!K22</f>
        <v>0</v>
      </c>
      <c r="M39" s="703">
        <f>industrie!L22</f>
        <v>0</v>
      </c>
      <c r="N39" s="703">
        <f>industrie!M22</f>
        <v>0</v>
      </c>
      <c r="O39" s="703">
        <f>industrie!N22</f>
        <v>0</v>
      </c>
      <c r="P39" s="703">
        <f>industrie!O22</f>
        <v>0</v>
      </c>
      <c r="Q39" s="813">
        <f>industrie!P22</f>
        <v>0</v>
      </c>
      <c r="R39" s="907">
        <f ca="1">SUM(C39:Q39)</f>
        <v>163036.46663408409</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301230.50332848483</v>
      </c>
      <c r="D41" s="748">
        <f t="shared" ref="D41:R41" ca="1" si="4">SUM(D35:D40)</f>
        <v>39.862867589965148</v>
      </c>
      <c r="E41" s="748">
        <f t="shared" ca="1" si="4"/>
        <v>472475.04113563668</v>
      </c>
      <c r="F41" s="748">
        <f t="shared" si="4"/>
        <v>8898.6804194400884</v>
      </c>
      <c r="G41" s="748">
        <f t="shared" ca="1" si="4"/>
        <v>66016.428227682714</v>
      </c>
      <c r="H41" s="748">
        <f t="shared" si="4"/>
        <v>0</v>
      </c>
      <c r="I41" s="748">
        <f t="shared" si="4"/>
        <v>0</v>
      </c>
      <c r="J41" s="748">
        <f t="shared" si="4"/>
        <v>0</v>
      </c>
      <c r="K41" s="748">
        <f t="shared" si="4"/>
        <v>602.08191095836253</v>
      </c>
      <c r="L41" s="748">
        <f t="shared" si="4"/>
        <v>0</v>
      </c>
      <c r="M41" s="748">
        <f t="shared" ca="1" si="4"/>
        <v>0</v>
      </c>
      <c r="N41" s="748">
        <f t="shared" si="4"/>
        <v>0</v>
      </c>
      <c r="O41" s="748">
        <f t="shared" ca="1" si="4"/>
        <v>0</v>
      </c>
      <c r="P41" s="748">
        <f t="shared" si="4"/>
        <v>0</v>
      </c>
      <c r="Q41" s="749">
        <f t="shared" si="4"/>
        <v>0</v>
      </c>
      <c r="R41" s="750">
        <f t="shared" ca="1" si="4"/>
        <v>849262.59788979276</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1760.2385716516046</v>
      </c>
      <c r="D44" s="703">
        <f ca="1">transport!C58</f>
        <v>0</v>
      </c>
      <c r="E44" s="703">
        <f>transport!D58</f>
        <v>0</v>
      </c>
      <c r="F44" s="703">
        <f>transport!E58</f>
        <v>0</v>
      </c>
      <c r="G44" s="703">
        <f>transport!F58</f>
        <v>0</v>
      </c>
      <c r="H44" s="703">
        <f>transport!G58</f>
        <v>10450.709948130703</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12210.948519782309</v>
      </c>
    </row>
    <row r="45" spans="1:18" ht="15" thickBot="1">
      <c r="A45" s="877" t="s">
        <v>307</v>
      </c>
      <c r="B45" s="887"/>
      <c r="C45" s="712">
        <f ca="1">transport!B18</f>
        <v>8.2447748337158142</v>
      </c>
      <c r="D45" s="712">
        <f>transport!C18</f>
        <v>0</v>
      </c>
      <c r="E45" s="712">
        <f>transport!D18</f>
        <v>23.351132198416533</v>
      </c>
      <c r="F45" s="712">
        <f>transport!E18</f>
        <v>1687.7688557541142</v>
      </c>
      <c r="G45" s="712">
        <f>transport!F18</f>
        <v>0</v>
      </c>
      <c r="H45" s="712">
        <f>transport!G18</f>
        <v>459827.72325902741</v>
      </c>
      <c r="I45" s="712">
        <f>transport!H18</f>
        <v>65489.957804708087</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527037.0458265217</v>
      </c>
    </row>
    <row r="46" spans="1:18" ht="15.75" thickBot="1">
      <c r="A46" s="875" t="s">
        <v>230</v>
      </c>
      <c r="B46" s="888"/>
      <c r="C46" s="748">
        <f t="shared" ref="C46:R46" ca="1" si="5">SUM(C43:C45)</f>
        <v>1768.4833464853205</v>
      </c>
      <c r="D46" s="748">
        <f t="shared" ca="1" si="5"/>
        <v>0</v>
      </c>
      <c r="E46" s="748">
        <f t="shared" si="5"/>
        <v>23.351132198416533</v>
      </c>
      <c r="F46" s="748">
        <f t="shared" si="5"/>
        <v>1687.7688557541142</v>
      </c>
      <c r="G46" s="748">
        <f t="shared" si="5"/>
        <v>0</v>
      </c>
      <c r="H46" s="748">
        <f t="shared" si="5"/>
        <v>470278.43320715812</v>
      </c>
      <c r="I46" s="748">
        <f t="shared" si="5"/>
        <v>65489.957804708087</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539247.99434630398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614.04389650021778</v>
      </c>
      <c r="D48" s="703">
        <f ca="1">+landbouw!C12</f>
        <v>220.47789674304354</v>
      </c>
      <c r="E48" s="703">
        <f>+landbouw!D12</f>
        <v>14096.279249349054</v>
      </c>
      <c r="F48" s="703">
        <f>+landbouw!E12</f>
        <v>6.4387423584609209</v>
      </c>
      <c r="G48" s="703">
        <f>+landbouw!F12</f>
        <v>2623.4083835442502</v>
      </c>
      <c r="H48" s="703">
        <f>+landbouw!G12</f>
        <v>0</v>
      </c>
      <c r="I48" s="703">
        <f>+landbouw!H12</f>
        <v>0</v>
      </c>
      <c r="J48" s="703">
        <f>+landbouw!I12</f>
        <v>0</v>
      </c>
      <c r="K48" s="703">
        <f>+landbouw!J12</f>
        <v>131.85100257057087</v>
      </c>
      <c r="L48" s="703">
        <f>+landbouw!K12</f>
        <v>0</v>
      </c>
      <c r="M48" s="703">
        <f>+landbouw!L12</f>
        <v>0</v>
      </c>
      <c r="N48" s="703">
        <f>+landbouw!M12</f>
        <v>0</v>
      </c>
      <c r="O48" s="703">
        <f>+landbouw!N12</f>
        <v>0</v>
      </c>
      <c r="P48" s="703">
        <f>+landbouw!O12</f>
        <v>0</v>
      </c>
      <c r="Q48" s="704">
        <f>+landbouw!P12</f>
        <v>0</v>
      </c>
      <c r="R48" s="746">
        <f ca="1">SUM(C48:Q48)</f>
        <v>17692.499171065596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303613.03057147033</v>
      </c>
      <c r="D53" s="758">
        <f t="shared" ref="D53:Q53" ca="1" si="6">D41+D46+D48</f>
        <v>260.34076433300868</v>
      </c>
      <c r="E53" s="758">
        <f t="shared" ca="1" si="6"/>
        <v>486594.67151718412</v>
      </c>
      <c r="F53" s="758">
        <f t="shared" si="6"/>
        <v>10592.888017552663</v>
      </c>
      <c r="G53" s="758">
        <f t="shared" ca="1" si="6"/>
        <v>68639.836611226958</v>
      </c>
      <c r="H53" s="758">
        <f t="shared" si="6"/>
        <v>470278.43320715812</v>
      </c>
      <c r="I53" s="758">
        <f t="shared" si="6"/>
        <v>65489.957804708087</v>
      </c>
      <c r="J53" s="758">
        <f t="shared" si="6"/>
        <v>0</v>
      </c>
      <c r="K53" s="758">
        <f t="shared" si="6"/>
        <v>733.93291352893334</v>
      </c>
      <c r="L53" s="758">
        <f t="shared" si="6"/>
        <v>0</v>
      </c>
      <c r="M53" s="758">
        <f t="shared" ca="1" si="6"/>
        <v>0</v>
      </c>
      <c r="N53" s="758">
        <f t="shared" si="6"/>
        <v>0</v>
      </c>
      <c r="O53" s="758">
        <f t="shared" ca="1" si="6"/>
        <v>0</v>
      </c>
      <c r="P53" s="758">
        <f>P41+P46+P48</f>
        <v>0</v>
      </c>
      <c r="Q53" s="759">
        <f t="shared" si="6"/>
        <v>0</v>
      </c>
      <c r="R53" s="760">
        <f ca="1">R41+R46+R48</f>
        <v>1406203.0914071624</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0.20394169319673724</v>
      </c>
      <c r="D55" s="824">
        <f t="shared" ca="1" si="7"/>
        <v>0.22548692778162097</v>
      </c>
      <c r="E55" s="824">
        <f t="shared" ca="1" si="7"/>
        <v>0.20199999999999996</v>
      </c>
      <c r="F55" s="824">
        <f t="shared" si="7"/>
        <v>0.22699999999999995</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69777.959571853862</v>
      </c>
      <c r="C64" s="780">
        <f>'lokale energieproductie'!B4</f>
        <v>69777.959571853862</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43289.776081576572</v>
      </c>
      <c r="C66" s="780">
        <f>'lokale energieproductie'!B6</f>
        <v>43289.776081576572</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796.95</v>
      </c>
      <c r="C67" s="779">
        <f>B67*IFERROR(SUM(J67:L67)/SUM(D67:M67),0)</f>
        <v>40.1973659630114</v>
      </c>
      <c r="D67" s="811">
        <f>'lokale energieproductie'!C7</f>
        <v>889.61290641367725</v>
      </c>
      <c r="E67" s="812">
        <f>'lokale energieproductie'!D7</f>
        <v>0</v>
      </c>
      <c r="F67" s="812">
        <f>'lokale energieproductie'!E7</f>
        <v>0</v>
      </c>
      <c r="G67" s="812">
        <f>'lokale energieproductie'!F7</f>
        <v>0</v>
      </c>
      <c r="H67" s="812">
        <f>'lokale energieproductie'!G7</f>
        <v>0</v>
      </c>
      <c r="I67" s="812">
        <f>'lokale energieproductie'!H7</f>
        <v>0</v>
      </c>
      <c r="J67" s="812">
        <f>'lokale energieproductie'!I7</f>
        <v>47.254669433738513</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179.70180709556283</v>
      </c>
      <c r="P67" s="911">
        <v>0</v>
      </c>
      <c r="Q67" s="770"/>
      <c r="R67" s="727"/>
    </row>
    <row r="68" spans="1:18" ht="30.75" thickBot="1">
      <c r="A68" s="786" t="s">
        <v>353</v>
      </c>
      <c r="B68" s="779">
        <f>'lokale energieproductie'!B8</f>
        <v>1858.5</v>
      </c>
      <c r="C68" s="779">
        <f>B68*IFERROR(SUM(J68:L68)/SUM(D68:M68),0)</f>
        <v>1858.5</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5310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115723.18565343042</v>
      </c>
      <c r="C69" s="788">
        <f>SUM(C64:C68)</f>
        <v>114966.43301939344</v>
      </c>
      <c r="D69" s="789">
        <f t="shared" ref="D69:M69" si="8">SUM(D67:D68)</f>
        <v>889.61290641367725</v>
      </c>
      <c r="E69" s="789">
        <f t="shared" si="8"/>
        <v>0</v>
      </c>
      <c r="F69" s="789">
        <f t="shared" si="8"/>
        <v>0</v>
      </c>
      <c r="G69" s="789">
        <f t="shared" si="8"/>
        <v>0</v>
      </c>
      <c r="H69" s="789">
        <f t="shared" si="8"/>
        <v>0</v>
      </c>
      <c r="I69" s="789">
        <f t="shared" si="8"/>
        <v>0</v>
      </c>
      <c r="J69" s="789">
        <f t="shared" si="8"/>
        <v>47.254669433738513</v>
      </c>
      <c r="K69" s="789">
        <f t="shared" si="8"/>
        <v>5310</v>
      </c>
      <c r="L69" s="789">
        <f t="shared" si="8"/>
        <v>0</v>
      </c>
      <c r="M69" s="919">
        <f t="shared" si="8"/>
        <v>0</v>
      </c>
      <c r="N69" s="790">
        <v>0</v>
      </c>
      <c r="O69" s="790">
        <f>SUM(O67:O68)</f>
        <v>179.70180709556283</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1154.5714285714287</v>
      </c>
      <c r="C78" s="802">
        <f>B78*IFERROR(SUM(I78:L78)/SUM(D78:M78),0)</f>
        <v>58.235435403378617</v>
      </c>
      <c r="D78" s="817">
        <f>'lokale energieproductie'!C16</f>
        <v>1288.8156650148944</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68.459616280547209</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260.34076433300868</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1154.5714285714287</v>
      </c>
      <c r="C81" s="788">
        <f>SUM(C78:C80)</f>
        <v>58.235435403378617</v>
      </c>
      <c r="D81" s="788">
        <f t="shared" ref="D81:P81" si="9">SUM(D78:D80)</f>
        <v>1288.8156650148944</v>
      </c>
      <c r="E81" s="788">
        <f t="shared" si="9"/>
        <v>0</v>
      </c>
      <c r="F81" s="788">
        <f t="shared" si="9"/>
        <v>0</v>
      </c>
      <c r="G81" s="788">
        <f t="shared" si="9"/>
        <v>0</v>
      </c>
      <c r="H81" s="788">
        <f t="shared" si="9"/>
        <v>0</v>
      </c>
      <c r="I81" s="788">
        <f t="shared" si="9"/>
        <v>0</v>
      </c>
      <c r="J81" s="788">
        <f t="shared" si="9"/>
        <v>68.459616280547209</v>
      </c>
      <c r="K81" s="788">
        <f t="shared" si="9"/>
        <v>0</v>
      </c>
      <c r="L81" s="788">
        <f t="shared" si="9"/>
        <v>0</v>
      </c>
      <c r="M81" s="788">
        <f t="shared" si="9"/>
        <v>0</v>
      </c>
      <c r="N81" s="788">
        <v>0</v>
      </c>
      <c r="O81" s="788">
        <f>SUM(O78:O80)</f>
        <v>260.34076433300868</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398128.45589224069</v>
      </c>
      <c r="C4" s="462">
        <f>huishoudens!C8</f>
        <v>0</v>
      </c>
      <c r="D4" s="462">
        <f>huishoudens!D8</f>
        <v>1178342.7580722184</v>
      </c>
      <c r="E4" s="462">
        <f>huishoudens!E8</f>
        <v>28265.048974327281</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94414.572973151866</v>
      </c>
      <c r="O4" s="462">
        <f>huishoudens!O8</f>
        <v>967.70333333333338</v>
      </c>
      <c r="P4" s="463">
        <f>huishoudens!P8</f>
        <v>1430</v>
      </c>
      <c r="Q4" s="464">
        <f>SUM(B4:P4)</f>
        <v>1701548.5392452716</v>
      </c>
    </row>
    <row r="5" spans="1:17">
      <c r="A5" s="461" t="s">
        <v>156</v>
      </c>
      <c r="B5" s="462">
        <f ca="1">tertiair!B16</f>
        <v>683719.88060332218</v>
      </c>
      <c r="C5" s="462">
        <f ca="1">tertiair!C16</f>
        <v>176.78571428571433</v>
      </c>
      <c r="D5" s="462">
        <f ca="1">tertiair!D16</f>
        <v>875946.47822712618</v>
      </c>
      <c r="E5" s="462">
        <f>tertiair!E16</f>
        <v>6331.1436432460323</v>
      </c>
      <c r="F5" s="462">
        <f ca="1">tertiair!F16</f>
        <v>148206.1783686993</v>
      </c>
      <c r="G5" s="462">
        <f>tertiair!G16</f>
        <v>0</v>
      </c>
      <c r="H5" s="462">
        <f>tertiair!H16</f>
        <v>0</v>
      </c>
      <c r="I5" s="462">
        <f>tertiair!I16</f>
        <v>0</v>
      </c>
      <c r="J5" s="462">
        <f>tertiair!J16</f>
        <v>0</v>
      </c>
      <c r="K5" s="462">
        <f>tertiair!K16</f>
        <v>0</v>
      </c>
      <c r="L5" s="462">
        <f ca="1">tertiair!L16</f>
        <v>0</v>
      </c>
      <c r="M5" s="462">
        <f>tertiair!M16</f>
        <v>0</v>
      </c>
      <c r="N5" s="462">
        <f ca="1">tertiair!N16</f>
        <v>22680.977885974149</v>
      </c>
      <c r="O5" s="462">
        <f>tertiair!O16</f>
        <v>21.88666666666667</v>
      </c>
      <c r="P5" s="463">
        <f>tertiair!P16</f>
        <v>228.8</v>
      </c>
      <c r="Q5" s="461">
        <f t="shared" ref="Q5:Q13" ca="1" si="0">SUM(B5:P5)</f>
        <v>1737312.1311093203</v>
      </c>
    </row>
    <row r="6" spans="1:17">
      <c r="A6" s="461" t="s">
        <v>194</v>
      </c>
      <c r="B6" s="462">
        <f>'openbare verlichting'!B8</f>
        <v>15501.861000000001</v>
      </c>
      <c r="C6" s="462"/>
      <c r="D6" s="462"/>
      <c r="E6" s="462"/>
      <c r="F6" s="462"/>
      <c r="G6" s="462"/>
      <c r="H6" s="462"/>
      <c r="I6" s="462"/>
      <c r="J6" s="462"/>
      <c r="K6" s="462"/>
      <c r="L6" s="462"/>
      <c r="M6" s="462"/>
      <c r="N6" s="462"/>
      <c r="O6" s="462"/>
      <c r="P6" s="463"/>
      <c r="Q6" s="461">
        <f t="shared" si="0"/>
        <v>15501.861000000001</v>
      </c>
    </row>
    <row r="7" spans="1:17">
      <c r="A7" s="461" t="s">
        <v>112</v>
      </c>
      <c r="B7" s="462">
        <f>landbouw!B8</f>
        <v>3010.8796630802976</v>
      </c>
      <c r="C7" s="462">
        <f>landbouw!C8</f>
        <v>977.78571428571433</v>
      </c>
      <c r="D7" s="462">
        <f>landbouw!D8</f>
        <v>69783.56064034185</v>
      </c>
      <c r="E7" s="462">
        <f>landbouw!E8</f>
        <v>28.364503781766171</v>
      </c>
      <c r="F7" s="462">
        <f>landbouw!F8</f>
        <v>9825.4995638361434</v>
      </c>
      <c r="G7" s="462">
        <f>landbouw!G8</f>
        <v>0</v>
      </c>
      <c r="H7" s="462">
        <f>landbouw!H8</f>
        <v>0</v>
      </c>
      <c r="I7" s="462">
        <f>landbouw!I8</f>
        <v>0</v>
      </c>
      <c r="J7" s="462">
        <f>landbouw!J8</f>
        <v>372.4604592389008</v>
      </c>
      <c r="K7" s="462">
        <f>landbouw!K8</f>
        <v>0</v>
      </c>
      <c r="L7" s="462">
        <f>landbouw!L8</f>
        <v>0</v>
      </c>
      <c r="M7" s="462">
        <f>landbouw!M8</f>
        <v>0</v>
      </c>
      <c r="N7" s="462">
        <f>landbouw!N8</f>
        <v>0</v>
      </c>
      <c r="O7" s="462">
        <f>landbouw!O8</f>
        <v>0</v>
      </c>
      <c r="P7" s="463">
        <f>landbouw!P8</f>
        <v>0</v>
      </c>
      <c r="Q7" s="461">
        <f t="shared" si="0"/>
        <v>83998.55054456467</v>
      </c>
    </row>
    <row r="8" spans="1:17">
      <c r="A8" s="461" t="s">
        <v>685</v>
      </c>
      <c r="B8" s="462">
        <f>industrie!B18</f>
        <v>379692.08163220499</v>
      </c>
      <c r="C8" s="462">
        <f>industrie!C18</f>
        <v>0</v>
      </c>
      <c r="D8" s="462">
        <f>industrie!D18</f>
        <v>284696.1158572727</v>
      </c>
      <c r="E8" s="462">
        <f>industrie!E18</f>
        <v>4605.0427103565962</v>
      </c>
      <c r="F8" s="462">
        <f>industrie!F18</f>
        <v>99046.361809887618</v>
      </c>
      <c r="G8" s="462">
        <f>industrie!G18</f>
        <v>0</v>
      </c>
      <c r="H8" s="462">
        <f>industrie!H18</f>
        <v>0</v>
      </c>
      <c r="I8" s="462">
        <f>industrie!I18</f>
        <v>0</v>
      </c>
      <c r="J8" s="462">
        <f>industrie!J18</f>
        <v>1700.7963586394421</v>
      </c>
      <c r="K8" s="462">
        <f>industrie!K18</f>
        <v>0</v>
      </c>
      <c r="L8" s="462">
        <f>industrie!L18</f>
        <v>0</v>
      </c>
      <c r="M8" s="462">
        <f>industrie!M18</f>
        <v>0</v>
      </c>
      <c r="N8" s="462">
        <f>industrie!N18</f>
        <v>14347.969417705302</v>
      </c>
      <c r="O8" s="462">
        <f>industrie!O18</f>
        <v>0</v>
      </c>
      <c r="P8" s="463">
        <f>industrie!P18</f>
        <v>0</v>
      </c>
      <c r="Q8" s="461">
        <f t="shared" si="0"/>
        <v>784088.36778606672</v>
      </c>
    </row>
    <row r="9" spans="1:17" s="467" customFormat="1">
      <c r="A9" s="465" t="s">
        <v>579</v>
      </c>
      <c r="B9" s="466">
        <f>transport!B14</f>
        <v>40.427117694675076</v>
      </c>
      <c r="C9" s="466"/>
      <c r="D9" s="466">
        <f>transport!D14</f>
        <v>115.59966434859669</v>
      </c>
      <c r="E9" s="466">
        <f>transport!E14</f>
        <v>7435.1050914278158</v>
      </c>
      <c r="F9" s="466"/>
      <c r="G9" s="466">
        <f>transport!G14</f>
        <v>1722201.2107079676</v>
      </c>
      <c r="H9" s="466">
        <f>transport!H14</f>
        <v>263011.87873376743</v>
      </c>
      <c r="I9" s="466"/>
      <c r="J9" s="466"/>
      <c r="K9" s="466"/>
      <c r="L9" s="466"/>
      <c r="M9" s="466">
        <f>transport!M14</f>
        <v>88721.410685526047</v>
      </c>
      <c r="N9" s="466"/>
      <c r="O9" s="466"/>
      <c r="P9" s="466"/>
      <c r="Q9" s="465">
        <f>SUM(B9:P9)</f>
        <v>2081525.6320007322</v>
      </c>
    </row>
    <row r="10" spans="1:17">
      <c r="A10" s="461" t="s">
        <v>569</v>
      </c>
      <c r="B10" s="462">
        <f>transport!B54</f>
        <v>8631.0873664932642</v>
      </c>
      <c r="C10" s="462"/>
      <c r="D10" s="462">
        <f>transport!D54</f>
        <v>0</v>
      </c>
      <c r="E10" s="462"/>
      <c r="F10" s="462"/>
      <c r="G10" s="462">
        <f>transport!G54</f>
        <v>39141.235760789146</v>
      </c>
      <c r="H10" s="462"/>
      <c r="I10" s="462"/>
      <c r="J10" s="462"/>
      <c r="K10" s="462"/>
      <c r="L10" s="462"/>
      <c r="M10" s="462">
        <f>transport!M54</f>
        <v>1718.7562297634074</v>
      </c>
      <c r="N10" s="462"/>
      <c r="O10" s="462"/>
      <c r="P10" s="463"/>
      <c r="Q10" s="461">
        <f t="shared" si="0"/>
        <v>49491.079357045819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1488724.673275036</v>
      </c>
      <c r="C14" s="472">
        <f t="shared" ref="C14:Q14" ca="1" si="1">SUM(C4:C13)</f>
        <v>1154.5714285714287</v>
      </c>
      <c r="D14" s="472">
        <f t="shared" ca="1" si="1"/>
        <v>2408884.5124613079</v>
      </c>
      <c r="E14" s="472">
        <f t="shared" si="1"/>
        <v>46664.704923139492</v>
      </c>
      <c r="F14" s="472">
        <f t="shared" ca="1" si="1"/>
        <v>257078.03974242305</v>
      </c>
      <c r="G14" s="472">
        <f t="shared" si="1"/>
        <v>1761342.4464687568</v>
      </c>
      <c r="H14" s="472">
        <f t="shared" si="1"/>
        <v>263011.87873376743</v>
      </c>
      <c r="I14" s="472">
        <f t="shared" si="1"/>
        <v>0</v>
      </c>
      <c r="J14" s="472">
        <f t="shared" si="1"/>
        <v>2073.2568178783431</v>
      </c>
      <c r="K14" s="472">
        <f t="shared" si="1"/>
        <v>0</v>
      </c>
      <c r="L14" s="472">
        <f t="shared" ca="1" si="1"/>
        <v>0</v>
      </c>
      <c r="M14" s="472">
        <f t="shared" si="1"/>
        <v>90440.166915289461</v>
      </c>
      <c r="N14" s="472">
        <f t="shared" ca="1" si="1"/>
        <v>131443.52027683132</v>
      </c>
      <c r="O14" s="472">
        <f t="shared" si="1"/>
        <v>989.59</v>
      </c>
      <c r="P14" s="473">
        <f t="shared" si="1"/>
        <v>1658.8</v>
      </c>
      <c r="Q14" s="473">
        <f t="shared" ca="1" si="1"/>
        <v>6453466.1610430013</v>
      </c>
    </row>
    <row r="16" spans="1:17">
      <c r="A16" s="475" t="s">
        <v>574</v>
      </c>
      <c r="B16" s="829">
        <f ca="1">huishoudens!B10</f>
        <v>0.2039416931967373</v>
      </c>
      <c r="C16" s="829">
        <f ca="1">huishoudens!C10</f>
        <v>0.22548692778162097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81194.991404466113</v>
      </c>
      <c r="C21" s="462">
        <f t="shared" ref="C21:C28" ca="1" si="3">C4*$C$16</f>
        <v>0</v>
      </c>
      <c r="D21" s="462">
        <f t="shared" ref="D21:D30" si="4">D4*$D$16</f>
        <v>238025.23713058812</v>
      </c>
      <c r="E21" s="462">
        <f t="shared" ref="E21:E30" si="5">E4*$E$16</f>
        <v>6416.1661171722926</v>
      </c>
      <c r="F21" s="462">
        <f t="shared" ref="F21:F28" si="6">F4*$F$16</f>
        <v>0</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325636.39465222653</v>
      </c>
    </row>
    <row r="22" spans="1:17">
      <c r="A22" s="461" t="s">
        <v>156</v>
      </c>
      <c r="B22" s="462">
        <f t="shared" ca="1" si="2"/>
        <v>139438.99012251259</v>
      </c>
      <c r="C22" s="462">
        <f t="shared" ca="1" si="3"/>
        <v>39.862867589965148</v>
      </c>
      <c r="D22" s="462">
        <f t="shared" ca="1" si="4"/>
        <v>176941.18860187949</v>
      </c>
      <c r="E22" s="462">
        <f t="shared" si="5"/>
        <v>1437.1696070168493</v>
      </c>
      <c r="F22" s="462">
        <f t="shared" ca="1" si="6"/>
        <v>39571.049624442712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357428.26082344155</v>
      </c>
    </row>
    <row r="23" spans="1:17">
      <c r="A23" s="461" t="s">
        <v>194</v>
      </c>
      <c r="B23" s="462">
        <f t="shared" ca="1" si="2"/>
        <v>3161.4757800404673</v>
      </c>
      <c r="C23" s="462"/>
      <c r="D23" s="462"/>
      <c r="E23" s="462"/>
      <c r="F23" s="462"/>
      <c r="G23" s="462"/>
      <c r="H23" s="462"/>
      <c r="I23" s="462"/>
      <c r="J23" s="462"/>
      <c r="K23" s="462"/>
      <c r="L23" s="462"/>
      <c r="M23" s="462"/>
      <c r="N23" s="462"/>
      <c r="O23" s="462"/>
      <c r="P23" s="463"/>
      <c r="Q23" s="461">
        <f t="shared" ca="1" si="17"/>
        <v>3161.4757800404673</v>
      </c>
    </row>
    <row r="24" spans="1:17">
      <c r="A24" s="461" t="s">
        <v>112</v>
      </c>
      <c r="B24" s="462">
        <f t="shared" ca="1" si="2"/>
        <v>614.04389650021778</v>
      </c>
      <c r="C24" s="462">
        <f t="shared" ca="1" si="3"/>
        <v>220.47789674304354</v>
      </c>
      <c r="D24" s="462">
        <f t="shared" si="4"/>
        <v>14096.279249349054</v>
      </c>
      <c r="E24" s="462">
        <f t="shared" si="5"/>
        <v>6.4387423584609209</v>
      </c>
      <c r="F24" s="462">
        <f t="shared" si="6"/>
        <v>2623.4083835442502</v>
      </c>
      <c r="G24" s="462">
        <f t="shared" si="7"/>
        <v>0</v>
      </c>
      <c r="H24" s="462">
        <f t="shared" si="8"/>
        <v>0</v>
      </c>
      <c r="I24" s="462">
        <f t="shared" si="9"/>
        <v>0</v>
      </c>
      <c r="J24" s="462">
        <f t="shared" si="10"/>
        <v>131.85100257057087</v>
      </c>
      <c r="K24" s="462">
        <f t="shared" si="11"/>
        <v>0</v>
      </c>
      <c r="L24" s="462">
        <f t="shared" si="12"/>
        <v>0</v>
      </c>
      <c r="M24" s="462">
        <f t="shared" si="13"/>
        <v>0</v>
      </c>
      <c r="N24" s="462">
        <f t="shared" si="14"/>
        <v>0</v>
      </c>
      <c r="O24" s="462">
        <f t="shared" si="15"/>
        <v>0</v>
      </c>
      <c r="P24" s="463">
        <f t="shared" si="16"/>
        <v>0</v>
      </c>
      <c r="Q24" s="461">
        <f t="shared" ca="1" si="17"/>
        <v>17692.499171065596</v>
      </c>
    </row>
    <row r="25" spans="1:17">
      <c r="A25" s="461" t="s">
        <v>685</v>
      </c>
      <c r="B25" s="462">
        <f t="shared" ca="1" si="2"/>
        <v>77435.046021465678</v>
      </c>
      <c r="C25" s="462">
        <f t="shared" ca="1" si="3"/>
        <v>0</v>
      </c>
      <c r="D25" s="462">
        <f t="shared" si="4"/>
        <v>57508.615403169089</v>
      </c>
      <c r="E25" s="462">
        <f t="shared" si="5"/>
        <v>1045.3446952509473</v>
      </c>
      <c r="F25" s="462">
        <f t="shared" si="6"/>
        <v>26445.378603239995</v>
      </c>
      <c r="G25" s="462">
        <f t="shared" si="7"/>
        <v>0</v>
      </c>
      <c r="H25" s="462">
        <f t="shared" si="8"/>
        <v>0</v>
      </c>
      <c r="I25" s="462">
        <f t="shared" si="9"/>
        <v>0</v>
      </c>
      <c r="J25" s="462">
        <f t="shared" si="10"/>
        <v>602.08191095836253</v>
      </c>
      <c r="K25" s="462">
        <f t="shared" si="11"/>
        <v>0</v>
      </c>
      <c r="L25" s="462">
        <f t="shared" si="12"/>
        <v>0</v>
      </c>
      <c r="M25" s="462">
        <f t="shared" si="13"/>
        <v>0</v>
      </c>
      <c r="N25" s="462">
        <f t="shared" si="14"/>
        <v>0</v>
      </c>
      <c r="O25" s="462">
        <f t="shared" si="15"/>
        <v>0</v>
      </c>
      <c r="P25" s="463">
        <f t="shared" si="16"/>
        <v>0</v>
      </c>
      <c r="Q25" s="461">
        <f t="shared" ca="1" si="17"/>
        <v>163036.46663408409</v>
      </c>
    </row>
    <row r="26" spans="1:17" s="467" customFormat="1">
      <c r="A26" s="465" t="s">
        <v>579</v>
      </c>
      <c r="B26" s="823">
        <f t="shared" ca="1" si="2"/>
        <v>8.2447748337158142</v>
      </c>
      <c r="C26" s="466"/>
      <c r="D26" s="466">
        <f t="shared" si="4"/>
        <v>23.351132198416533</v>
      </c>
      <c r="E26" s="466">
        <f t="shared" si="5"/>
        <v>1687.7688557541142</v>
      </c>
      <c r="F26" s="466"/>
      <c r="G26" s="466">
        <f t="shared" si="7"/>
        <v>459827.72325902741</v>
      </c>
      <c r="H26" s="466">
        <f t="shared" si="8"/>
        <v>65489.957804708087</v>
      </c>
      <c r="I26" s="466"/>
      <c r="J26" s="466"/>
      <c r="K26" s="466"/>
      <c r="L26" s="466"/>
      <c r="M26" s="466">
        <f t="shared" si="13"/>
        <v>0</v>
      </c>
      <c r="N26" s="466"/>
      <c r="O26" s="466"/>
      <c r="P26" s="477"/>
      <c r="Q26" s="465">
        <f t="shared" ca="1" si="17"/>
        <v>527037.0458265217</v>
      </c>
    </row>
    <row r="27" spans="1:17">
      <c r="A27" s="461" t="s">
        <v>569</v>
      </c>
      <c r="B27" s="462">
        <f t="shared" ca="1" si="2"/>
        <v>1760.2385716516046</v>
      </c>
      <c r="C27" s="462"/>
      <c r="D27" s="466">
        <f t="shared" si="4"/>
        <v>0</v>
      </c>
      <c r="E27" s="462"/>
      <c r="F27" s="462"/>
      <c r="G27" s="462">
        <f t="shared" si="7"/>
        <v>10450.709948130703</v>
      </c>
      <c r="H27" s="462"/>
      <c r="I27" s="462"/>
      <c r="J27" s="462"/>
      <c r="K27" s="462"/>
      <c r="L27" s="462"/>
      <c r="M27" s="462">
        <f t="shared" si="13"/>
        <v>0</v>
      </c>
      <c r="N27" s="462"/>
      <c r="O27" s="462"/>
      <c r="P27" s="463"/>
      <c r="Q27" s="461">
        <f t="shared" ca="1" si="17"/>
        <v>12210.948519782309</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303613.03057147044</v>
      </c>
      <c r="C31" s="472">
        <f t="shared" ca="1" si="18"/>
        <v>260.34076433300868</v>
      </c>
      <c r="D31" s="472">
        <f t="shared" ca="1" si="18"/>
        <v>486594.67151718412</v>
      </c>
      <c r="E31" s="472">
        <f t="shared" si="18"/>
        <v>10592.888017552665</v>
      </c>
      <c r="F31" s="472">
        <f t="shared" ca="1" si="18"/>
        <v>68639.836611226958</v>
      </c>
      <c r="G31" s="472">
        <f t="shared" si="18"/>
        <v>470278.43320715812</v>
      </c>
      <c r="H31" s="472">
        <f t="shared" si="18"/>
        <v>65489.957804708087</v>
      </c>
      <c r="I31" s="472">
        <f t="shared" si="18"/>
        <v>0</v>
      </c>
      <c r="J31" s="472">
        <f t="shared" si="18"/>
        <v>733.93291352893334</v>
      </c>
      <c r="K31" s="472">
        <f t="shared" si="18"/>
        <v>0</v>
      </c>
      <c r="L31" s="472">
        <f t="shared" ca="1" si="18"/>
        <v>0</v>
      </c>
      <c r="M31" s="472">
        <f t="shared" si="18"/>
        <v>0</v>
      </c>
      <c r="N31" s="472">
        <f t="shared" ca="1" si="18"/>
        <v>0</v>
      </c>
      <c r="O31" s="472">
        <f t="shared" si="18"/>
        <v>0</v>
      </c>
      <c r="P31" s="473">
        <f t="shared" si="18"/>
        <v>0</v>
      </c>
      <c r="Q31" s="473">
        <f t="shared" ca="1" si="18"/>
        <v>1406203.0914071624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0.2039416931967373</v>
      </c>
      <c r="C17" s="512">
        <f ca="1">'EF ele_warmte'!B22</f>
        <v>0.22548692778162097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1</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19.066666666666666</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0.2039416931967373</v>
      </c>
      <c r="C17" s="512">
        <f ca="1">'EF ele_warmte'!B22</f>
        <v>0.22548692778162097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0.2039416931967373</v>
      </c>
      <c r="C29" s="513">
        <f ca="1">'EF ele_warmte'!B22</f>
        <v>0.22548692778162097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2018-12-05T16:07:46Z</dcterms:modified>
</cp:coreProperties>
</file>