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Q5" i="48"/>
  <c r="O13" i="14"/>
  <c r="O15" s="1"/>
  <c r="F8" i="48"/>
  <c r="Q4"/>
  <c r="N22"/>
  <c r="R11" i="14"/>
  <c r="J21" i="48"/>
  <c r="J14"/>
  <c r="R10" i="14"/>
  <c r="C17" i="49" l="1"/>
  <c r="C29" i="20"/>
  <c r="C17" i="19"/>
  <c r="C19" s="1"/>
  <c r="D35" i="14" s="1"/>
  <c r="C16" i="22"/>
  <c r="C10" i="17"/>
  <c r="C12" s="1"/>
  <c r="D48" i="14" s="1"/>
  <c r="C56" i="22"/>
  <c r="C58" s="1"/>
  <c r="D44" i="14" s="1"/>
  <c r="D46" s="1"/>
  <c r="C20" i="16"/>
  <c r="C22" s="1"/>
  <c r="D39" i="14" s="1"/>
  <c r="C18" i="15"/>
  <c r="C20" s="1"/>
  <c r="D36" i="14" s="1"/>
  <c r="C10" i="13"/>
  <c r="C16" i="48" s="1"/>
  <c r="C25" s="1"/>
  <c r="F22" i="16"/>
  <c r="G39" i="14" s="1"/>
  <c r="G41" s="1"/>
  <c r="N22" i="16"/>
  <c r="O39" i="14" s="1"/>
  <c r="O41" s="1"/>
  <c r="E55"/>
  <c r="Q9" i="48"/>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D41" s="1"/>
  <c r="C21" i="48"/>
  <c r="F25"/>
  <c r="F31" s="1"/>
  <c r="F14"/>
  <c r="C24" l="1"/>
  <c r="C31" s="1"/>
  <c r="C28"/>
  <c r="C22"/>
  <c r="K55" i="14"/>
  <c r="R13"/>
  <c r="R1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<sst xmlns="http://schemas.openxmlformats.org/spreadsheetml/2006/main" count="2214" uniqueCount="920">
  <si>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</si>
  <si>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</si>
  <si>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</si>
  <si>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</si>
  <si>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</si>
  <si>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</si>
  <si>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</si>
  <si>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</si>
  <si>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</si>
  <si>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</si>
  <si>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</si>
  <si>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</si>
  <si>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</si>
  <si>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</si>
  <si>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</si>
  <si>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</si>
  <si>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</si>
  <si>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</si>
  <si>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</si>
  <si>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</si>
  <si>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</si>
  <si>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</si>
  <si>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</si>
  <si>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</si>
  <si>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</si>
  <si>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</si>
  <si>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</si>
  <si>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</si>
  <si>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</si>
  <si>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</si>
  <si>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</si>
  <si>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</si>
  <si>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</si>
  <si>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</si>
  <si>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</si>
  <si>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</si>
  <si>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</si>
  <si>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</si>
  <si>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</si>
  <si>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</si>
  <si>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</si>
  <si>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</si>
  <si>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</si>
  <si>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</si>
  <si>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</si>
  <si>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</si>
  <si>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</si>
  <si>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</si>
  <si>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</si>
  <si>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</si>
  <si>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</si>
  <si>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</si>
  <si>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</si>
  <si>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</si>
  <si>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</si>
  <si>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</si>
  <si>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</si>
  <si>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</si>
  <si>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</si>
  <si>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</si>
  <si>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</si>
  <si>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</si>
  <si>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</si>
  <si>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</si>
  <si>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</si>
  <si>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</si>
  <si>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</si>
  <si>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</si>
  <si>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</si>
  <si>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</si>
  <si>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</si>
  <si>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</si>
  <si>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</si>
  <si>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</si>
  <si>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</si>
  <si>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</si>
  <si>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</si>
  <si>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</si>
  <si>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</si>
  <si>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</si>
  <si>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</si>
  <si>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</si>
  <si>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</si>
  <si>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</si>
  <si>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</si>
  <si>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</si>
  <si>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</si>
  <si>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</si>
  <si>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</si>
  <si>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</si>
  <si>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</si>
  <si>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</si>
  <si>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</si>
  <si>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</si>
  <si>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</si>
  <si>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</si>
  <si>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</si>
  <si>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</si>
  <si>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</si>
  <si>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</si>
  <si>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</si>
  <si>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</si>
  <si>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</si>
  <si>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</si>
  <si>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</si>
  <si>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</si>
  <si>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</si>
  <si>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</si>
  <si>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</si>
  <si>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</si>
  <si>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</si>
  <si>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</si>
  <si>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</si>
  <si>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</si>
  <si>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</si>
  <si>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</si>
  <si>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</si>
  <si>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</si>
  <si>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</si>
  <si>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</si>
  <si>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</si>
  <si>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</si>
  <si>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</si>
  <si>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</si>
  <si>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</si>
  <si>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</si>
  <si>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</si>
  <si>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</si>
  <si>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</si>
  <si>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</si>
  <si>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</si>
  <si>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</si>
  <si>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</si>
  <si>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</si>
  <si>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</si>
  <si>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</si>
  <si>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</si>
  <si>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</si>
  <si>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</si>
  <si>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</si>
  <si>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</si>
  <si>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</si>
  <si>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</si>
  <si>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</si>
  <si>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</si>
  <si>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</si>
  <si>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</si>
  <si>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</si>
  <si>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</si>
  <si>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</si>
  <si>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</si>
  <si>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</si>
  <si>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</si>
  <si>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</si>
  <si>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</si>
  <si>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</si>
  <si>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</si>
  <si>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</si>
  <si>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</si>
  <si>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</si>
  <si>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</si>
  <si>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</si>
  <si>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</si>
  <si>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</si>
  <si>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</si>
  <si>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</si>
  <si>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</si>
  <si>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</si>
  <si>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</si>
  <si>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</si>
  <si>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</si>
  <si>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</si>
  <si>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</si>
  <si>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</si>
  <si>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</si>
  <si>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</si>
  <si>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</si>
  <si>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</si>
  <si>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</si>
  <si>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</si>
  <si>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</si>
  <si>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</si>
  <si>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</si>
  <si>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</si>
  <si>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</si>
  <si>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</si>
  <si>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</si>
  <si>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</si>
  <si>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</si>
  <si>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</si>
  <si>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</si>
  <si>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</si>
  <si>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</si>
  <si>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</si>
  <si>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</si>
  <si>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</si>
  <si>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</si>
  <si>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</si>
  <si>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</si>
  <si>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</si>
  <si>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</si>
  <si>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</si>
  <si>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</si>
  <si>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</si>
  <si>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</si>
  <si>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</si>
  <si>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</si>
  <si>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</si>
  <si>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</si>
  <si>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</si>
  <si>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</si>
  <si>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</si>
  <si>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</si>
  <si>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</si>
  <si>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</si>
  <si>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</si>
  <si>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</si>
  <si>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</si>
  <si>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</si>
  <si>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</si>
  <si>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</si>
  <si>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</si>
  <si>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</si>
  <si>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</si>
  <si>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</si>
  <si>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</si>
  <si>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</si>
  <si>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</si>
  <si>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</si>
  <si>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</si>
  <si>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</si>
  <si>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</si>
  <si>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</si>
  <si>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</si>
  <si>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</si>
  <si>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</si>
  <si>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</si>
  <si>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</si>
  <si>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</si>
  <si>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</si>
  <si>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</si>
  <si>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</si>
  <si>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</si>
  <si>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</si>
  <si>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</si>
  <si>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</si>
  <si>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</si>
  <si>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</si>
  <si>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</si>
  <si>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</si>
  <si>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</si>
  <si>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</si>
  <si>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</si>
  <si>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</si>
  <si>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</si>
  <si>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</si>
  <si>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</si>
  <si>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</si>
  <si>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</si>
  <si>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</si>
  <si>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</si>
  <si>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</si>
  <si>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</si>
  <si>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</si>
  <si>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</si>
  <si>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</si>
  <si>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</si>
  <si>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</si>
  <si>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</si>
  <si>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</si>
  <si>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</si>
  <si>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</si>
  <si>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</si>
  <si>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</si>
  <si>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</si>
  <si>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</si>
  <si>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</si>
  <si>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</si>
  <si>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</si>
  <si>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</si>
  <si>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</si>
  <si>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</si>
  <si>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</si>
  <si>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</si>
  <si>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</si>
  <si>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</si>
  <si>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</si>
  <si>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</si>
  <si>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</si>
  <si>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</si>
  <si>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</si>
  <si>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</si>
  <si>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</si>
  <si>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</si>
  <si>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</si>
  <si>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</si>
  <si>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</si>
  <si>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</si>
  <si>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</si>
  <si>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</si>
  <si>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</si>
  <si>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</si>
  <si>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</si>
  <si>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</si>
  <si>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</si>
  <si>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</si>
  <si>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</si>
  <si>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</si>
  <si>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</si>
  <si>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</si>
  <si>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</si>
  <si>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</si>
  <si>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</si>
  <si>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</si>
  <si>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</si>
  <si>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</si>
  <si>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</si>
  <si>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</si>
  <si>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</si>
  <si>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</si>
  <si>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</si>
  <si>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</si>
  <si>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</si>
  <si>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</si>
  <si>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</si>
  <si>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</si>
  <si>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</si>
  <si>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</si>
  <si>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</si>
  <si>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</si>
  <si>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</si>
  <si>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</si>
  <si>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</si>
  <si>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</si>
  <si>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</si>
  <si>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</si>
  <si>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</si>
  <si>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</si>
  <si>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</si>
  <si>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</si>
  <si>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</si>
  <si>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</si>
  <si>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</si>
  <si>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</si>
  <si>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</si>
  <si>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</si>
  <si>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</si>
  <si>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</si>
  <si>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</si>
  <si>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</si>
  <si>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</si>
  <si>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</si>
  <si>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</si>
  <si>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</si>
  <si>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</si>
  <si>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</si>
  <si>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</si>
  <si>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</si>
  <si>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</si>
  <si>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</si>
  <si>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</si>
  <si>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</si>
  <si>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</si>
  <si>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</si>
  <si>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</si>
  <si>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</si>
  <si>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</si>
  <si>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</si>
  <si>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</si>
  <si>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</si>
  <si>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</si>
  <si>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</si>
  <si>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</si>
  <si>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</si>
  <si>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</si>
  <si>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</si>
  <si>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</si>
  <si>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</si>
  <si>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</si>
  <si>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</si>
  <si>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</si>
  <si>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</si>
  <si>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</si>
  <si>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</si>
  <si>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</si>
  <si>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</si>
  <si>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</si>
  <si>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</si>
  <si>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</si>
  <si>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</si>
  <si>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</si>
  <si>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</si>
  <si>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</si>
  <si>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</si>
  <si>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</si>
  <si>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</si>
  <si>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</si>
  <si>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</si>
  <si>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</si>
  <si>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</si>
  <si>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</si>
  <si>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</si>
  <si>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</si>
  <si>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</si>
  <si>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</si>
  <si>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</si>
  <si>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</si>
  <si>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</si>
  <si>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</si>
  <si>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</si>
  <si>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</si>
  <si>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</si>
  <si>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</si>
  <si>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</si>
  <si>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</si>
  <si>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</si>
  <si>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</si>
  <si>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</si>
  <si>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</si>
  <si>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</si>
  <si>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</si>
  <si>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</si>
  <si>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</si>
  <si>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</si>
  <si>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</si>
  <si>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</si>
  <si>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</si>
  <si>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</si>
  <si>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</si>
  <si>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</si>
  <si>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</si>
  <si>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</si>
  <si>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</si>
  <si>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</si>
  <si>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</si>
  <si>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</si>
  <si>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</si>
  <si>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</si>
  <si>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</si>
  <si>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</si>
  <si>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</si>
  <si>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</si>
  <si>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</si>
  <si>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</si>
  <si>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</si>
  <si>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</si>
  <si>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</si>
  <si>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</si>
  <si>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</si>
  <si>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</si>
  <si>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</si>
  <si>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</si>
  <si>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</si>
  <si>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</si>
  <si>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</si>
  <si>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</si>
  <si>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</si>
  <si>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</si>
  <si>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</si>
  <si>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</si>
  <si>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</si>
  <si>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</si>
  <si>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</si>
  <si>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</si>
  <si>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</si>
  <si>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</si>
  <si>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</si>
  <si>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</si>
  <si>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</si>
  <si>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</si>
  <si>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</si>
  <si>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</si>
  <si>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</si>
  <si>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</si>
  <si>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</si>
  <si>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</si>
  <si>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</si>
  <si>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</si>
  <si>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</si>
  <si>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</si>
  <si>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</si>
  <si>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</si>
  <si>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</si>
  <si>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</si>
  <si>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</si>
  <si>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</si>
  <si>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</si>
  <si>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</si>
  <si>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</si>
  <si>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</si>
  <si>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</si>
  <si>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</si>
  <si>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</si>
  <si>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</si>
  <si>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</si>
  <si>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</si>
  <si>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</si>
  <si>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</si>
  <si>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</si>
  <si>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</si>
  <si>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</si>
  <si>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</si>
  <si>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</si>
  <si>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</si>
  <si>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</si>
  <si>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</si>
  <si>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</si>
  <si>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</si>
  <si>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</si>
  <si>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</si>
  <si>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</si>
  <si>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</si>
  <si>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</si>
  <si>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</si>
  <si>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</si>
  <si>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</si>
  <si>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</si>
  <si>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</si>
  <si>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</si>
  <si>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</si>
  <si>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</si>
  <si>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</si>
  <si>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</si>
  <si>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</si>
  <si>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</si>
  <si>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</si>
  <si>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</si>
  <si>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</si>
  <si>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</si>
  <si>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</si>
  <si>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</si>
  <si>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</si>
  <si>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</si>
  <si>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</si>
  <si>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</si>
  <si>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</si>
  <si>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</si>
  <si>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</si>
  <si>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</si>
  <si>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</si>
  <si>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</si>
  <si>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</si>
  <si>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</si>
  <si>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</si>
  <si>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</si>
  <si>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</si>
  <si>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</si>
  <si>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</si>
  <si>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</si>
  <si>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</si>
  <si>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</si>
  <si>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</si>
  <si>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</si>
  <si>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</si>
  <si>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</si>
  <si>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</si>
  <si>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</si>
  <si>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</si>
  <si>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</si>
  <si>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</si>
  <si>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</si>
  <si>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</si>
  <si>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</si>
  <si>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</si>
  <si>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</si>
  <si>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</si>
  <si>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</si>
  <si>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</si>
  <si>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</si>
  <si>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</si>
  <si>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</si>
  <si>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</si>
  <si>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</si>
  <si>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</si>
  <si>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</si>
  <si>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</si>
  <si>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</si>
  <si>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</si>
  <si>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</si>
  <si>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</si>
  <si>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</si>
  <si>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</si>
  <si>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</si>
  <si>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</si>
  <si>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</si>
  <si>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</si>
  <si>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</si>
  <si>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</si>
  <si>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</si>
  <si>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</si>
  <si>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</si>
  <si>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</si>
  <si>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</si>
  <si>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</si>
  <si>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</si>
  <si>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</si>
  <si>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</si>
  <si>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</si>
  <si>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</si>
  <si>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</si>
  <si>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</si>
  <si>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</si>
  <si>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</si>
  <si>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</si>
  <si>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</si>
  <si>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</si>
  <si>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</si>
  <si>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</si>
  <si>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</si>
  <si>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</si>
  <si>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</si>
  <si>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</si>
  <si>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</si>
  <si>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</si>
  <si>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</si>
  <si>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</si>
  <si>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</si>
  <si>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</si>
  <si>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</si>
  <si>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</si>
  <si>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</si>
  <si>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</si>
  <si>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</si>
  <si>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</si>
  <si>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</si>
  <si>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</si>
  <si>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</si>
  <si>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</si>
  <si>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</si>
  <si>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</si>
  <si>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</si>
  <si>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</si>
  <si>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</si>
  <si>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</si>
  <si>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</si>
  <si>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</si>
  <si>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</si>
  <si>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</si>
  <si>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</si>
  <si>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</si>
  <si>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</si>
  <si>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</si>
  <si>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</si>
  <si>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</si>
  <si>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</si>
  <si>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</si>
  <si>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</si>
  <si>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</si>
  <si>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</si>
  <si>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</si>
  <si>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</si>
  <si>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</si>
  <si>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</si>
  <si>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</si>
  <si>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</si>
  <si>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</si>
  <si>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</si>
  <si>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</si>
  <si>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</si>
  <si>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</si>
  <si>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</si>
  <si>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</si>
  <si>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</si>
  <si>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</si>
  <si>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</si>
  <si>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</si>
  <si>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</si>
  <si>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</si>
  <si>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</si>
  <si>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</si>
  <si>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</si>
  <si>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</si>
  <si>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</si>
  <si>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</si>
  <si>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</si>
  <si>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</si>
  <si>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</si>
  <si>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</si>
  <si>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</si>
  <si>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</si>
  <si>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</si>
  <si>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</si>
  <si>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</si>
  <si>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</si>
  <si>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</si>
  <si>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</si>
  <si>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</si>
  <si>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</si>
  <si>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</si>
  <si>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</si>
  <si>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</si>
  <si>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</si>
  <si>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</si>
  <si>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</si>
  <si>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</si>
  <si>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</si>
  <si>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</si>
  <si>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</si>
  <si>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</si>
  <si>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</si>
  <si>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</si>
  <si>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</si>
  <si>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</si>
  <si>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</si>
  <si>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</si>
  <si>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</si>
  <si>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</si>
  <si>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</si>
  <si>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</si>
  <si>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</si>
  <si>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</si>
  <si>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</si>
  <si>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</si>
  <si>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</si>
  <si>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</si>
  <si>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</si>
  <si>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</si>
  <si>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</si>
  <si>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</si>
  <si>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</si>
  <si>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</si>
  <si>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</si>
  <si>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</si>
  <si>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</si>
  <si>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</si>
  <si>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</si>
  <si>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</si>
  <si>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</si>
  <si>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</si>
  <si>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</si>
  <si>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</si>
  <si>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</si>
  <si>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</si>
  <si>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</si>
  <si>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</si>
  <si>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</si>
  <si>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</si>
  <si>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</si>
  <si>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</si>
  <si>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</si>
  <si>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</si>
  <si>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</si>
  <si>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</si>
  <si>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</si>
  <si>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</si>
  <si>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</si>
  <si>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</si>
  <si>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</si>
  <si>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</si>
  <si>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</si>
  <si>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</si>
  <si>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</si>
  <si>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</si>
  <si>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</si>
  <si>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</si>
  <si>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</si>
  <si>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</si>
  <si>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</si>
  <si>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</si>
  <si>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</si>
  <si>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</si>
  <si>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</si>
  <si>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</si>
  <si>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</si>
  <si>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</si>
  <si>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</si>
  <si>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</si>
  <si>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</si>
  <si>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</si>
  <si>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</si>
  <si>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</si>
  <si>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</si>
  <si>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</si>
  <si>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</si>
  <si>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</si>
  <si>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</si>
  <si>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</si>
  <si>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</si>
  <si>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</si>
  <si>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</si>
  <si>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</si>
  <si>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</si>
  <si>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</si>
  <si>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</si>
  <si>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</si>
  <si>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</si>
  <si>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</si>
  <si>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</si>
  <si>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</si>
  <si>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</si>
  <si>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</si>
  <si>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</si>
  <si>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</si>
  <si>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</si>
  <si>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</si>
  <si>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</si>
  <si>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</si>
  <si>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</si>
  <si>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</si>
  <si>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</si>
  <si>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</si>
  <si>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</si>
  <si>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</si>
  <si>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</si>
  <si>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</si>
  <si>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</si>
  <si>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</si>
  <si>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</si>
  <si>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</si>
  <si>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</si>
  <si>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</si>
  <si>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</si>
  <si>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</si>
  <si>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</si>
  <si>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</si>
  <si>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</si>
  <si>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</si>
  <si>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</si>
  <si>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</si>
  <si>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</si>
  <si>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</si>
  <si>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</si>
  <si>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</si>
  <si>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</si>
  <si>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</si>
  <si>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</si>
  <si>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</si>
  <si>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</si>
  <si>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</si>
  <si>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</si>
  <si>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</si>
  <si>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</si>
  <si>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</si>
  <si>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</si>
  <si>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</si>
  <si>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</si>
  <si>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</si>
  <si>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</si>
  <si>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</si>
  <si>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</si>
  <si>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</si>
  <si>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</si>
  <si>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</si>
  <si>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</si>
  <si>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</si>
  <si>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</si>
  <si>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</si>
  <si>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</si>
  <si>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</si>
  <si>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</si>
  <si>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</si>
  <si>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</si>
  <si>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</si>
  <si>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</si>
  <si>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</si>
  <si>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</si>
  <si>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</si>
  <si>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</si>
  <si>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</si>
  <si>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</si>
  <si>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</si>
  <si>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</si>
  <si>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</si>
  <si>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</si>
  <si>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</si>
  <si>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</si>
  <si>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</si>
  <si>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</si>
  <si>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</si>
  <si>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</si>
  <si>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</si>
  <si>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</si>
  <si>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</si>
  <si>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</si>
  <si>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</si>
  <si>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</si>
  <si>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</si>
  <si>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</si>
  <si>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</si>
  <si>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</si>
  <si>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</si>
  <si>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</si>
  <si>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</si>
  <si>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</si>
  <si>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</si>
  <si>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</si>
  <si>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</si>
  <si>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</si>
  <si>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</si>
  <si>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</si>
  <si>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</si>
  <si>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</si>
  <si>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</si>
  <si>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</si>
  <si>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</si>
  <si>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</si>
  <si>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</si>
  <si>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</si>
  <si>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</si>
  <si>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</si>
  <si>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</si>
  <si>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</si>
  <si>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</si>
  <si>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</si>
  <si>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</si>
  <si>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</si>
  <si>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</si>
  <si>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</si>
  <si>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44001</t>
  </si>
  <si>
    <t>AALTER</t>
  </si>
  <si>
    <t>Paarden&amp;pony's 200 - 600 kg</t>
  </si>
  <si>
    <t>Paarden&amp;pony's &lt; 200 kg</t>
  </si>
  <si>
    <t>op basis van VEA (maart 2018) en Inventaris Hernieuwbare Energiebronnen (juni 2018)</t>
  </si>
  <si>
    <t>VEA (juni 2018)</t>
  </si>
  <si>
    <t>Wittevrongel Eneco Energie nv</t>
  </si>
  <si>
    <t>Aalterweg 4 , 9880 Aalter</t>
  </si>
  <si>
    <t>WKK-0466 Wittevrongel Eneco Energy</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</si>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</sst>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44001</v>
      </c>
      <c r="B6" s="397"/>
      <c r="C6" s="398"/>
    </row>
    <row r="7" spans="1:7" s="395" customFormat="1" ht="15.75" customHeight="1">
      <c r="A7" s="399" t="str">
        <f>txtMunicipality</f>
        <v>AALTER</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44001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7976</v>
      </c>
      <c r="C9" s="338">
        <v>8063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4955</v>
      </c>
    </row>
    <row r="15" spans="1:6">
      <c r="A15" s="1260" t="s">
        <v>184</v>
      </c>
      <c r="B15" s="335">
        <v>81</v>
      </c>
    </row>
    <row r="16" spans="1:6">
      <c r="A16" s="1260" t="s">
        <v>6</v>
      </c>
      <c r="B16" s="335">
        <v>3298</v>
      </c>
    </row>
    <row r="17" spans="1:6">
      <c r="A17" s="1260" t="s">
        <v>7</v>
      </c>
      <c r="B17" s="335">
        <v>1516</v>
      </c>
    </row>
    <row r="18" spans="1:6">
      <c r="A18" s="1260" t="s">
        <v>8</v>
      </c>
      <c r="B18" s="335">
        <v>2869</v>
      </c>
    </row>
    <row r="19" spans="1:6">
      <c r="A19" s="1260" t="s">
        <v>9</v>
      </c>
      <c r="B19" s="335">
        <v>2981</v>
      </c>
    </row>
    <row r="20" spans="1:6">
      <c r="A20" s="1260" t="s">
        <v>10</v>
      </c>
      <c r="B20" s="335">
        <v>1833</v>
      </c>
    </row>
    <row r="21" spans="1:6">
      <c r="A21" s="1260" t="s">
        <v>11</v>
      </c>
      <c r="B21" s="335">
        <v>23573</v>
      </c>
    </row>
    <row r="22" spans="1:6">
      <c r="A22" s="1260" t="s">
        <v>12</v>
      </c>
      <c r="B22" s="335">
        <v>82458</v>
      </c>
    </row>
    <row r="23" spans="1:6">
      <c r="A23" s="1260" t="s">
        <v>13</v>
      </c>
      <c r="B23" s="335">
        <v>955</v>
      </c>
    </row>
    <row r="24" spans="1:6">
      <c r="A24" s="1260" t="s">
        <v>14</v>
      </c>
      <c r="B24" s="335">
        <v>142</v>
      </c>
    </row>
    <row r="25" spans="1:6">
      <c r="A25" s="1260" t="s">
        <v>15</v>
      </c>
      <c r="B25" s="335">
        <v>4944</v>
      </c>
    </row>
    <row r="26" spans="1:6">
      <c r="A26" s="1260" t="s">
        <v>16</v>
      </c>
      <c r="B26" s="335">
        <v>403</v>
      </c>
    </row>
    <row r="27" spans="1:6">
      <c r="A27" s="1260" t="s">
        <v>17</v>
      </c>
      <c r="B27" s="335">
        <v>0</v>
      </c>
    </row>
    <row r="28" spans="1:6" s="341" customFormat="1">
      <c r="A28" s="1261" t="s">
        <v>18</v>
      </c>
      <c r="B28" s="1261">
        <v>627111</v>
      </c>
    </row>
    <row r="29" spans="1:6">
      <c r="A29" s="1261" t="s">
        <v>910</v>
      </c>
      <c r="B29" s="1261">
        <v>313</v>
      </c>
      <c r="C29" s="341"/>
      <c r="D29" s="341"/>
      <c r="E29" s="341"/>
      <c r="F29" s="341"/>
    </row>
    <row r="30" spans="1:6">
      <c r="A30" s="1256" t="s">
        <v>911</v>
      </c>
      <c r="B30" s="1256">
        <v>64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5</v>
      </c>
      <c r="F38" s="335">
        <v>80675.960271525604</v>
      </c>
    </row>
    <row r="39" spans="1:6">
      <c r="A39" s="1260" t="s">
        <v>30</v>
      </c>
      <c r="B39" s="1260" t="s">
        <v>31</v>
      </c>
      <c r="C39" s="335">
        <v>3399</v>
      </c>
      <c r="D39" s="335">
        <v>55664344.4534484</v>
      </c>
      <c r="E39" s="335">
        <v>7570</v>
      </c>
      <c r="F39" s="335">
        <v>38553925.693617098</v>
      </c>
    </row>
    <row r="40" spans="1:6">
      <c r="A40" s="1260" t="s">
        <v>30</v>
      </c>
      <c r="B40" s="1260" t="s">
        <v>29</v>
      </c>
      <c r="C40" s="335">
        <v>0</v>
      </c>
      <c r="D40" s="335">
        <v>0</v>
      </c>
      <c r="E40" s="335">
        <v>0</v>
      </c>
      <c r="F40" s="335">
        <v>0</v>
      </c>
    </row>
    <row r="41" spans="1:6">
      <c r="A41" s="1260" t="s">
        <v>32</v>
      </c>
      <c r="B41" s="1260" t="s">
        <v>33</v>
      </c>
      <c r="C41" s="335">
        <v>51</v>
      </c>
      <c r="D41" s="335">
        <v>1772766.58219122</v>
      </c>
      <c r="E41" s="335">
        <v>200</v>
      </c>
      <c r="F41" s="335">
        <v>7715382.9258743301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23</v>
      </c>
      <c r="F44" s="335">
        <v>1669413.87020632</v>
      </c>
    </row>
    <row r="45" spans="1:6">
      <c r="A45" s="1260" t="s">
        <v>32</v>
      </c>
      <c r="B45" s="1260" t="s">
        <v>37</v>
      </c>
      <c r="C45" s="335">
        <v>3</v>
      </c>
      <c r="D45" s="335">
        <v>885155.17815602198</v>
      </c>
      <c r="E45" s="335">
        <v>4</v>
      </c>
      <c r="F45" s="335">
        <v>705462.57582042203</v>
      </c>
    </row>
    <row r="46" spans="1:6">
      <c r="A46" s="1260" t="s">
        <v>32</v>
      </c>
      <c r="B46" s="1260" t="s">
        <v>38</v>
      </c>
      <c r="C46" s="335">
        <v>0</v>
      </c>
      <c r="D46" s="335">
        <v>0</v>
      </c>
      <c r="E46" s="335">
        <v>0</v>
      </c>
      <c r="F46" s="335">
        <v>0</v>
      </c>
    </row>
    <row r="47" spans="1:6">
      <c r="A47" s="1260" t="s">
        <v>32</v>
      </c>
      <c r="B47" s="1260" t="s">
        <v>39</v>
      </c>
      <c r="C47" s="335">
        <v>5</v>
      </c>
      <c r="D47" s="335">
        <v>6846171.4822617797</v>
      </c>
      <c r="E47" s="335">
        <v>10</v>
      </c>
      <c r="F47" s="335">
        <v>6137118.0397896897</v>
      </c>
    </row>
    <row r="48" spans="1:6">
      <c r="A48" s="1260" t="s">
        <v>32</v>
      </c>
      <c r="B48" s="1260" t="s">
        <v>29</v>
      </c>
      <c r="C48" s="335">
        <v>35</v>
      </c>
      <c r="D48" s="335">
        <v>206413897.066697</v>
      </c>
      <c r="E48" s="335">
        <v>43</v>
      </c>
      <c r="F48" s="335">
        <v>51650291.072584003</v>
      </c>
    </row>
    <row r="49" spans="1:6">
      <c r="A49" s="1260" t="s">
        <v>32</v>
      </c>
      <c r="B49" s="1260" t="s">
        <v>40</v>
      </c>
      <c r="C49" s="335">
        <v>4</v>
      </c>
      <c r="D49" s="335">
        <v>260561.83242099901</v>
      </c>
      <c r="E49" s="335">
        <v>5</v>
      </c>
      <c r="F49" s="335">
        <v>119331.06119851999</v>
      </c>
    </row>
    <row r="50" spans="1:6">
      <c r="A50" s="1260" t="s">
        <v>32</v>
      </c>
      <c r="B50" s="1260" t="s">
        <v>41</v>
      </c>
      <c r="C50" s="335">
        <v>11</v>
      </c>
      <c r="D50" s="335">
        <v>4674582.2590836501</v>
      </c>
      <c r="E50" s="335">
        <v>15</v>
      </c>
      <c r="F50" s="335">
        <v>3823441.6233796999</v>
      </c>
    </row>
    <row r="51" spans="1:6">
      <c r="A51" s="1260" t="s">
        <v>42</v>
      </c>
      <c r="B51" s="1260" t="s">
        <v>43</v>
      </c>
      <c r="C51" s="335">
        <v>12</v>
      </c>
      <c r="D51" s="335">
        <v>169075.53290379199</v>
      </c>
      <c r="E51" s="335">
        <v>259</v>
      </c>
      <c r="F51" s="335">
        <v>6080625.8776930701</v>
      </c>
    </row>
    <row r="52" spans="1:6">
      <c r="A52" s="1260" t="s">
        <v>42</v>
      </c>
      <c r="B52" s="1260" t="s">
        <v>29</v>
      </c>
      <c r="C52" s="335">
        <v>12</v>
      </c>
      <c r="D52" s="335">
        <v>11614495.900314599</v>
      </c>
      <c r="E52" s="335">
        <v>14</v>
      </c>
      <c r="F52" s="335">
        <v>335728.93593595002</v>
      </c>
    </row>
    <row r="53" spans="1:6">
      <c r="A53" s="1260" t="s">
        <v>44</v>
      </c>
      <c r="B53" s="1260" t="s">
        <v>45</v>
      </c>
      <c r="C53" s="335">
        <v>111</v>
      </c>
      <c r="D53" s="335">
        <v>3306499.3444165699</v>
      </c>
      <c r="E53" s="335">
        <v>265</v>
      </c>
      <c r="F53" s="335">
        <v>1849568.8350871601</v>
      </c>
    </row>
    <row r="54" spans="1:6">
      <c r="A54" s="1260" t="s">
        <v>46</v>
      </c>
      <c r="B54" s="1260" t="s">
        <v>47</v>
      </c>
      <c r="C54" s="335">
        <v>0</v>
      </c>
      <c r="D54" s="335">
        <v>0</v>
      </c>
      <c r="E54" s="335">
        <v>4</v>
      </c>
      <c r="F54" s="335">
        <v>2059656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22</v>
      </c>
      <c r="D57" s="335">
        <v>495422.31592092902</v>
      </c>
      <c r="E57" s="335">
        <v>80</v>
      </c>
      <c r="F57" s="335">
        <v>3981818.7402324402</v>
      </c>
    </row>
    <row r="58" spans="1:6">
      <c r="A58" s="1260" t="s">
        <v>49</v>
      </c>
      <c r="B58" s="1260" t="s">
        <v>51</v>
      </c>
      <c r="C58" s="335">
        <v>16</v>
      </c>
      <c r="D58" s="335">
        <v>4666238.5792081896</v>
      </c>
      <c r="E58" s="335">
        <v>45</v>
      </c>
      <c r="F58" s="335">
        <v>637706.78535542695</v>
      </c>
    </row>
    <row r="59" spans="1:6">
      <c r="A59" s="1260" t="s">
        <v>49</v>
      </c>
      <c r="B59" s="1260" t="s">
        <v>52</v>
      </c>
      <c r="C59" s="335">
        <v>88</v>
      </c>
      <c r="D59" s="335">
        <v>3608728.6722163898</v>
      </c>
      <c r="E59" s="335">
        <v>250</v>
      </c>
      <c r="F59" s="335">
        <v>12069796.792754199</v>
      </c>
    </row>
    <row r="60" spans="1:6">
      <c r="A60" s="1260" t="s">
        <v>49</v>
      </c>
      <c r="B60" s="1260" t="s">
        <v>53</v>
      </c>
      <c r="C60" s="335">
        <v>45</v>
      </c>
      <c r="D60" s="335">
        <v>2657428.4625837002</v>
      </c>
      <c r="E60" s="335">
        <v>85</v>
      </c>
      <c r="F60" s="335">
        <v>2650674.9165800302</v>
      </c>
    </row>
    <row r="61" spans="1:6">
      <c r="A61" s="1260" t="s">
        <v>49</v>
      </c>
      <c r="B61" s="1260" t="s">
        <v>54</v>
      </c>
      <c r="C61" s="335">
        <v>103</v>
      </c>
      <c r="D61" s="335">
        <v>8012641.6080833804</v>
      </c>
      <c r="E61" s="335">
        <v>418</v>
      </c>
      <c r="F61" s="335">
        <v>6120619.6766364202</v>
      </c>
    </row>
    <row r="62" spans="1:6">
      <c r="A62" s="1260" t="s">
        <v>49</v>
      </c>
      <c r="B62" s="1260" t="s">
        <v>55</v>
      </c>
      <c r="C62" s="335">
        <v>3</v>
      </c>
      <c r="D62" s="335">
        <v>213338.14233679901</v>
      </c>
      <c r="E62" s="335">
        <v>10</v>
      </c>
      <c r="F62" s="335">
        <v>111435.900338918</v>
      </c>
    </row>
    <row r="63" spans="1:6">
      <c r="A63" s="1260" t="s">
        <v>49</v>
      </c>
      <c r="B63" s="1260" t="s">
        <v>29</v>
      </c>
      <c r="C63" s="335">
        <v>117</v>
      </c>
      <c r="D63" s="335">
        <v>4783396.6792521197</v>
      </c>
      <c r="E63" s="335">
        <v>142</v>
      </c>
      <c r="F63" s="335">
        <v>3880466.3803389398</v>
      </c>
    </row>
    <row r="64" spans="1:6">
      <c r="A64" s="1260" t="s">
        <v>56</v>
      </c>
      <c r="B64" s="1260" t="s">
        <v>57</v>
      </c>
      <c r="C64" s="335">
        <v>0</v>
      </c>
      <c r="D64" s="335">
        <v>0</v>
      </c>
      <c r="E64" s="335">
        <v>0</v>
      </c>
      <c r="F64" s="335">
        <v>0</v>
      </c>
    </row>
    <row r="65" spans="1:6">
      <c r="A65" s="1260" t="s">
        <v>56</v>
      </c>
      <c r="B65" s="1260" t="s">
        <v>29</v>
      </c>
      <c r="C65" s="335">
        <v>2</v>
      </c>
      <c r="D65" s="335">
        <v>16086.509077504899</v>
      </c>
      <c r="E65" s="335">
        <v>2</v>
      </c>
      <c r="F65" s="335">
        <v>23183.289507031801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5</v>
      </c>
      <c r="D68" s="335">
        <v>245919.235518409</v>
      </c>
      <c r="E68" s="335">
        <v>17</v>
      </c>
      <c r="F68" s="335">
        <v>212493.528861256</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76609815</v>
      </c>
      <c r="E73" s="335">
        <v>103538857.62586872</v>
      </c>
    </row>
    <row r="74" spans="1:6">
      <c r="A74" s="1260" t="s">
        <v>64</v>
      </c>
      <c r="B74" s="1260" t="s">
        <v>772</v>
      </c>
      <c r="C74" s="1271" t="s">
        <v>766</v>
      </c>
      <c r="D74" s="335">
        <v>10380490.331914375</v>
      </c>
      <c r="E74" s="335">
        <v>14110250.443502299</v>
      </c>
    </row>
    <row r="75" spans="1:6">
      <c r="A75" s="1260" t="s">
        <v>65</v>
      </c>
      <c r="B75" s="1260" t="s">
        <v>771</v>
      </c>
      <c r="C75" s="1271" t="s">
        <v>767</v>
      </c>
      <c r="D75" s="335">
        <v>32175012</v>
      </c>
      <c r="E75" s="335">
        <v>41292810.475739218</v>
      </c>
    </row>
    <row r="76" spans="1:6">
      <c r="A76" s="1260" t="s">
        <v>65</v>
      </c>
      <c r="B76" s="1260" t="s">
        <v>772</v>
      </c>
      <c r="C76" s="1271" t="s">
        <v>768</v>
      </c>
      <c r="D76" s="335">
        <v>667587.33191437472</v>
      </c>
      <c r="E76" s="335">
        <v>855766.89248901536</v>
      </c>
    </row>
    <row r="77" spans="1:6">
      <c r="A77" s="1260" t="s">
        <v>66</v>
      </c>
      <c r="B77" s="1260" t="s">
        <v>771</v>
      </c>
      <c r="C77" s="1271" t="s">
        <v>769</v>
      </c>
      <c r="D77" s="335">
        <v>333008132</v>
      </c>
      <c r="E77" s="335">
        <v>366798915.82304358</v>
      </c>
    </row>
    <row r="78" spans="1:6">
      <c r="A78" s="1256" t="s">
        <v>66</v>
      </c>
      <c r="B78" s="1256" t="s">
        <v>772</v>
      </c>
      <c r="C78" s="1256" t="s">
        <v>770</v>
      </c>
      <c r="D78" s="1256">
        <v>57121289</v>
      </c>
      <c r="E78" s="1256">
        <v>65110681.512430087</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192641.33617125056</v>
      </c>
      <c r="C83" s="335">
        <v>185027.03485440079</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3786.0427982175161</v>
      </c>
    </row>
    <row r="92" spans="1:6">
      <c r="A92" s="1256" t="s">
        <v>69</v>
      </c>
      <c r="B92" s="338">
        <v>4839.1448125126408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1440</v>
      </c>
    </row>
    <row r="98" spans="1:6">
      <c r="A98" s="1260" t="s">
        <v>72</v>
      </c>
      <c r="B98" s="335">
        <v>1</v>
      </c>
    </row>
    <row r="99" spans="1:6">
      <c r="A99" s="1260" t="s">
        <v>73</v>
      </c>
      <c r="B99" s="335">
        <v>236</v>
      </c>
    </row>
    <row r="100" spans="1:6">
      <c r="A100" s="1260" t="s">
        <v>74</v>
      </c>
      <c r="B100" s="335">
        <v>1076</v>
      </c>
    </row>
    <row r="101" spans="1:6">
      <c r="A101" s="1260" t="s">
        <v>75</v>
      </c>
      <c r="B101" s="335">
        <v>156</v>
      </c>
    </row>
    <row r="102" spans="1:6">
      <c r="A102" s="1260" t="s">
        <v>76</v>
      </c>
      <c r="B102" s="335">
        <v>152</v>
      </c>
    </row>
    <row r="103" spans="1:6">
      <c r="A103" s="1260" t="s">
        <v>77</v>
      </c>
      <c r="B103" s="335">
        <v>274</v>
      </c>
    </row>
    <row r="104" spans="1:6">
      <c r="A104" s="1260" t="s">
        <v>78</v>
      </c>
      <c r="B104" s="335">
        <v>3449</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2</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28</v>
      </c>
      <c r="C123" s="335">
        <v>29</v>
      </c>
    </row>
    <row r="124" spans="1:6">
      <c r="A124" s="1256" t="s">
        <v>89</v>
      </c>
      <c r="B124" s="335">
        <v>1</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98</v>
      </c>
    </row>
    <row r="130" spans="1:6">
      <c r="A130" s="1260" t="s">
        <v>295</v>
      </c>
      <c r="B130" s="335">
        <v>5</v>
      </c>
    </row>
    <row r="131" spans="1:6">
      <c r="A131" s="1260" t="s">
        <v>296</v>
      </c>
      <c r="B131" s="335">
        <v>0</v>
      </c>
    </row>
    <row r="132" spans="1:6">
      <c r="A132" s="1256" t="s">
        <v>297</v>
      </c>
      <c r="B132" s="338">
        <v>9</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152098.2350030758</v>
      </c>
      <c r="C3" s="44" t="s">
        <v>170</v>
      </c>
      <c r="D3" s="44"/>
      <c r="E3" s="157"/>
      <c r="F3" s="44"/>
      <c r="G3" s="44"/>
      <c r="H3" s="44"/>
      <c r="I3" s="44"/>
      <c r="J3" s="44"/>
      <c r="K3" s="97"/>
    </row>
    <row r="4" spans="1:11">
      <c r="A4" s="365" t="s">
        <v>171</v>
      </c>
      <c r="B4" s="50">
        <f>IF(ISERROR('SEAP template'!B69),0,'SEAP template'!B69)</f>
        <v>10217.062610730158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378.30441176470595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0.20864176043746566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540.43487394957992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2274.1071428571431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2059.6559999999999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2059.6559999999999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0.20864176043746566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429.73025373558875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38553.9256936171</v>
      </c>
      <c r="C5" s="18">
        <f>IF(ISERROR('Eigen informatie GS &amp; warmtenet'!B57),0,'Eigen informatie GS &amp; warmtenet'!B57)</f>
        <v>0</v>
      </c>
      <c r="D5" s="31">
        <f>(SUM(HH_hh_gas_kWh,HH_rest_gas_kWh)/1000)*0.902</f>
        <v>50209.238697010456</v>
      </c>
      <c r="E5" s="18">
        <f>B46*B57</f>
        <v>9830.8297077435182</v>
      </c>
      <c r="F5" s="18">
        <f>B51*B62</f>
        <v>33279.470923899156</v>
      </c>
      <c r="G5" s="19"/>
      <c r="H5" s="18"/>
      <c r="I5" s="18"/>
      <c r="J5" s="18">
        <f>B50*B61+C50*C61</f>
        <v>2464.6031699599375</v>
      </c>
      <c r="K5" s="18"/>
      <c r="L5" s="18"/>
      <c r="M5" s="18"/>
      <c r="N5" s="18">
        <f>B48*B59+C48*C59</f>
        <v>21103.651337204421</v>
      </c>
      <c r="O5" s="18">
        <f>B69*B70*B71</f>
        <v>200.10666666666668</v>
      </c>
      <c r="P5" s="18">
        <f>B77*B78*B79/1000-B77*B78*B79/1000/B80</f>
        <v>724.5333333333333</v>
      </c>
    </row>
    <row r="6" spans="1:16">
      <c r="A6" s="17" t="s">
        <v>639</v>
      </c>
      <c r="B6" s="831">
        <f>kWh_PV_kleiner_dan_10kW</f>
        <v>3786.0427982175161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42339.968491834617</v>
      </c>
      <c r="C8" s="22">
        <f>C5</f>
        <v>0</v>
      </c>
      <c r="D8" s="22">
        <f>D5</f>
        <v>50209.238697010456</v>
      </c>
      <c r="E8" s="22">
        <f>E5</f>
        <v>9830.8297077435182</v>
      </c>
      <c r="F8" s="22">
        <f>F5</f>
        <v>33279.470923899156</v>
      </c>
      <c r="G8" s="22"/>
      <c r="H8" s="22"/>
      <c r="I8" s="22"/>
      <c r="J8" s="22">
        <f>J5</f>
        <v>2464.6031699599375</v>
      </c>
      <c r="K8" s="22"/>
      <c r="L8" s="22">
        <f>L5</f>
        <v>0</v>
      </c>
      <c r="M8" s="22">
        <f>M5</f>
        <v>0</v>
      </c>
      <c r="N8" s="22">
        <f>N5</f>
        <v>21103.651337204421</v>
      </c>
      <c r="O8" s="22">
        <f>O5</f>
        <v>200.10666666666668</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0.20864176043746566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8833.8855630032031</v>
      </c>
      <c r="C12" s="24">
        <f ca="1">C10*C8</f>
        <v>0</v>
      </c>
      <c r="D12" s="24">
        <f>D8*D10</f>
        <v>10142.266216796113</v>
      </c>
      <c r="E12" s="24">
        <f>E10*E8</f>
        <v>2231.5983436577785</v>
      </c>
      <c r="F12" s="24">
        <f>F10*F8</f>
        <v>8885.6187366810755</v>
      </c>
      <c r="G12" s="24"/>
      <c r="H12" s="24"/>
      <c r="I12" s="24"/>
      <c r="J12" s="24">
        <f>J10*J8</f>
        <v>872.46952216581781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1440</v>
      </c>
      <c r="C18" s="169" t="s">
        <v>111</v>
      </c>
      <c r="D18" s="231"/>
      <c r="E18" s="16"/>
    </row>
    <row r="19" spans="1:7">
      <c r="A19" s="174" t="s">
        <v>72</v>
      </c>
      <c r="B19" s="38">
        <f>aantalw2001_ander</f>
        <v>1</v>
      </c>
      <c r="C19" s="169" t="s">
        <v>111</v>
      </c>
      <c r="D19" s="232"/>
      <c r="E19" s="16"/>
    </row>
    <row r="20" spans="1:7">
      <c r="A20" s="174" t="s">
        <v>73</v>
      </c>
      <c r="B20" s="38">
        <f>aantalw2001_propaan</f>
        <v>236</v>
      </c>
      <c r="C20" s="170">
        <f>IF(ISERROR(B20/SUM($B$20,$B$21,$B$22)*100),0,B20/SUM($B$20,$B$21,$B$22)*100)</f>
        <v>16.076294277929154</v>
      </c>
      <c r="D20" s="232"/>
      <c r="E20" s="16"/>
    </row>
    <row r="21" spans="1:7">
      <c r="A21" s="174" t="s">
        <v>74</v>
      </c>
      <c r="B21" s="38">
        <f>aantalw2001_elektriciteit</f>
        <v>1076</v>
      </c>
      <c r="C21" s="170">
        <f>IF(ISERROR(B21/SUM($B$20,$B$21,$B$22)*100),0,B21/SUM($B$20,$B$21,$B$22)*100)</f>
        <v>73.297002724795647</v>
      </c>
      <c r="D21" s="232"/>
      <c r="E21" s="16"/>
    </row>
    <row r="22" spans="1:7">
      <c r="A22" s="174" t="s">
        <v>75</v>
      </c>
      <c r="B22" s="38">
        <f>aantalw2001_hout</f>
        <v>156</v>
      </c>
      <c r="C22" s="170">
        <f>IF(ISERROR(B22/SUM($B$20,$B$21,$B$22)*100),0,B22/SUM($B$20,$B$21,$B$22)*100)</f>
        <v>10.626702997275205</v>
      </c>
      <c r="D22" s="232"/>
      <c r="E22" s="16"/>
    </row>
    <row r="23" spans="1:7">
      <c r="A23" s="174" t="s">
        <v>76</v>
      </c>
      <c r="B23" s="38">
        <f>aantalw2001_niet_gespec</f>
        <v>152</v>
      </c>
      <c r="C23" s="169" t="s">
        <v>111</v>
      </c>
      <c r="D23" s="231"/>
      <c r="E23" s="16"/>
    </row>
    <row r="24" spans="1:7">
      <c r="A24" s="174" t="s">
        <v>77</v>
      </c>
      <c r="B24" s="38">
        <f>aantalw2001_steenkool</f>
        <v>274</v>
      </c>
      <c r="C24" s="169" t="s">
        <v>111</v>
      </c>
      <c r="D24" s="232"/>
      <c r="E24" s="16"/>
    </row>
    <row r="25" spans="1:7">
      <c r="A25" s="174" t="s">
        <v>78</v>
      </c>
      <c r="B25" s="38">
        <f>aantalw2001_stookolie</f>
        <v>3449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7976</v>
      </c>
      <c r="C28" s="37"/>
      <c r="D28" s="231"/>
    </row>
    <row r="29" spans="1:7" s="16" customFormat="1">
      <c r="A29" s="233" t="s">
        <v>666</v>
      </c>
      <c r="B29" s="38">
        <f>SUM(HH_hh_gas_aantal,HH_rest_gas_aantal)</f>
        <v>3399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3399</v>
      </c>
      <c r="C32" s="170">
        <f>IF(ISERROR(B32/SUM($B$32,$B$34,$B$35,$B$36,$B$38,$B$39)*100),0,B32/SUM($B$32,$B$34,$B$35,$B$36,$B$38,$B$39)*100)</f>
        <v>42.819349962207099</v>
      </c>
      <c r="D32" s="236"/>
      <c r="G32" s="16"/>
    </row>
    <row r="33" spans="1:7">
      <c r="A33" s="174" t="s">
        <v>72</v>
      </c>
      <c r="B33" s="35" t="s">
        <v>111</v>
      </c>
      <c r="C33" s="170"/>
      <c r="D33" s="236"/>
      <c r="G33" s="16"/>
    </row>
    <row r="34" spans="1:7">
      <c r="A34" s="174" t="s">
        <v>73</v>
      </c>
      <c r="B34" s="34">
        <f>IF((($B$28-$B$32-$B$39-$B$77-$B$38)*C20/100)&lt;0,0,($B$28-$B$32-$B$39-$B$77-$B$38)*C20/100)</f>
        <v>446.11716621253413</v>
      </c>
      <c r="C34" s="170">
        <f>IF(ISERROR(B34/SUM($B$32,$B$34,$B$35,$B$36,$B$38,$B$39)*100),0,B34/SUM($B$32,$B$34,$B$35,$B$36,$B$38,$B$39)*100)</f>
        <v>5.6200197305685826</v>
      </c>
      <c r="D34" s="236"/>
      <c r="G34" s="16"/>
    </row>
    <row r="35" spans="1:7">
      <c r="A35" s="174" t="s">
        <v>74</v>
      </c>
      <c r="B35" s="34">
        <f>IF((($B$28-$B$32-$B$39-$B$77-$B$38)*C21/100)&lt;0,0,($B$28-$B$32-$B$39-$B$77-$B$38)*C21/100)</f>
        <v>2033.9918256130795</v>
      </c>
      <c r="C35" s="170">
        <f>IF(ISERROR(B35/SUM($B$32,$B$34,$B$35,$B$36,$B$38,$B$39)*100),0,B35/SUM($B$32,$B$34,$B$35,$B$36,$B$38,$B$39)*100)</f>
        <v>25.623479788524556</v>
      </c>
      <c r="D35" s="236"/>
      <c r="G35" s="16"/>
    </row>
    <row r="36" spans="1:7">
      <c r="A36" s="174" t="s">
        <v>75</v>
      </c>
      <c r="B36" s="34">
        <f>IF((($B$28-$B$32-$B$39-$B$77-$B$38)*C22/100)&lt;0,0,($B$28-$B$32-$B$39-$B$77-$B$38)*C22/100)</f>
        <v>294.89100817438697</v>
      </c>
      <c r="C36" s="170">
        <f>IF(ISERROR(B36/SUM($B$32,$B$34,$B$35,$B$36,$B$38,$B$39)*100),0,B36/SUM($B$32,$B$34,$B$35,$B$36,$B$38,$B$39)*100)</f>
        <v>3.7149282964775376</v>
      </c>
      <c r="D36" s="236"/>
      <c r="G36" s="16"/>
    </row>
    <row r="37" spans="1:7">
      <c r="A37" s="174" t="s">
        <v>76</v>
      </c>
      <c r="B37" s="35" t="s">
        <v>111</v>
      </c>
      <c r="C37" s="170"/>
      <c r="D37" s="176"/>
      <c r="G37" s="16"/>
    </row>
    <row r="38" spans="1:7">
      <c r="A38" s="174" t="s">
        <v>77</v>
      </c>
      <c r="B38" s="34">
        <f>IF((B24-(B29-B18)*0.1)&lt;0,0,B24-(B29-B18)*0.1)</f>
        <v>78.099999999999994</v>
      </c>
      <c r="C38" s="170">
        <f>IF(ISERROR(B38/SUM($B$32,$B$34,$B$35,$B$36,$B$38,$B$39)*100),0,B38/SUM($B$32,$B$34,$B$35,$B$36,$B$38,$B$39)*100)</f>
        <v>0.98387503149407896</v>
      </c>
      <c r="D38" s="237"/>
      <c r="G38" s="16"/>
    </row>
    <row r="39" spans="1:7">
      <c r="A39" s="174" t="s">
        <v>78</v>
      </c>
      <c r="B39" s="34">
        <f>IF((B25-(B29-B18))&lt;0,0,B25-(B29-B18)*0.9)</f>
        <v>1685.8999999999999</v>
      </c>
      <c r="C39" s="170">
        <f>IF(ISERROR(B39/SUM($B$32,$B$34,$B$35,$B$36,$B$38,$B$39)*100),0,B39/SUM($B$32,$B$34,$B$35,$B$36,$B$38,$B$39)*100)</f>
        <v>21.238347190728138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3399</v>
      </c>
      <c r="C44" s="35" t="s">
        <v>111</v>
      </c>
      <c r="D44" s="177"/>
    </row>
    <row r="45" spans="1:7">
      <c r="A45" s="174" t="s">
        <v>72</v>
      </c>
      <c r="B45" s="34" t="str">
        <f t="shared" si="0"/>
        <v>-</v>
      </c>
      <c r="C45" s="35" t="s">
        <v>111</v>
      </c>
      <c r="D45" s="177"/>
    </row>
    <row r="46" spans="1:7">
      <c r="A46" s="174" t="s">
        <v>73</v>
      </c>
      <c r="B46" s="34">
        <f t="shared" si="0"/>
        <v>446.11716621253413</v>
      </c>
      <c r="C46" s="35" t="s">
        <v>111</v>
      </c>
      <c r="D46" s="177"/>
    </row>
    <row r="47" spans="1:7">
      <c r="A47" s="174" t="s">
        <v>74</v>
      </c>
      <c r="B47" s="34">
        <f t="shared" si="0"/>
        <v>2033.9918256130795</v>
      </c>
      <c r="C47" s="35" t="s">
        <v>111</v>
      </c>
      <c r="D47" s="177"/>
    </row>
    <row r="48" spans="1:7">
      <c r="A48" s="174" t="s">
        <v>75</v>
      </c>
      <c r="B48" s="34">
        <f t="shared" si="0"/>
        <v>294.89100817438697</v>
      </c>
      <c r="C48" s="34">
        <f>B48*10</f>
        <v>2948.9100817438698</v>
      </c>
      <c r="D48" s="237"/>
    </row>
    <row r="49" spans="1:6">
      <c r="A49" s="174" t="s">
        <v>76</v>
      </c>
      <c r="B49" s="34" t="str">
        <f t="shared" si="0"/>
        <v>-</v>
      </c>
      <c r="C49" s="35" t="s">
        <v>111</v>
      </c>
      <c r="D49" s="237"/>
    </row>
    <row r="50" spans="1:6">
      <c r="A50" s="174" t="s">
        <v>77</v>
      </c>
      <c r="B50" s="34">
        <f t="shared" si="0"/>
        <v>78.099999999999994</v>
      </c>
      <c r="C50" s="34">
        <f>B50*2</f>
        <v>156.19999999999999</v>
      </c>
      <c r="D50" s="237"/>
    </row>
    <row r="51" spans="1:6">
      <c r="A51" s="174" t="s">
        <v>78</v>
      </c>
      <c r="B51" s="34">
        <f t="shared" si="0"/>
        <v>1685.8999999999999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29452.519192236374</v>
      </c>
      <c r="C5" s="18">
        <f>IF(ISERROR('Eigen informatie GS &amp; warmtenet'!B58),0,'Eigen informatie GS &amp; warmtenet'!B58)</f>
        <v>0</v>
      </c>
      <c r="D5" s="31">
        <f>SUM(D6:D12)</f>
        <v>22042.349402560561</v>
      </c>
      <c r="E5" s="18">
        <f>SUM(E6:E12)</f>
        <v>279.3978312489217</v>
      </c>
      <c r="F5" s="18">
        <f>SUM(F6:F12)</f>
        <v>5989.1636025934504</v>
      </c>
      <c r="G5" s="19"/>
      <c r="H5" s="18"/>
      <c r="I5" s="18"/>
      <c r="J5" s="18">
        <f>SUM(J6:J12)</f>
        <v>0</v>
      </c>
      <c r="K5" s="18"/>
      <c r="L5" s="18"/>
      <c r="M5" s="18"/>
      <c r="N5" s="18">
        <f>SUM(N6:N12)</f>
        <v>2619.6072845927156</v>
      </c>
      <c r="O5" s="18">
        <f>B38*B39*B40</f>
        <v>7.8166666666666664</v>
      </c>
      <c r="P5" s="18">
        <f>B46*B47*B48/1000-B46*B47*B48/1000/B49</f>
        <v>0</v>
      </c>
      <c r="R5" s="33"/>
    </row>
    <row r="6" spans="1:18">
      <c r="A6" s="33" t="s">
        <v>54</v>
      </c>
      <c r="B6" s="38">
        <f>B26</f>
        <v>6120.6196766364201</v>
      </c>
      <c r="C6" s="34"/>
      <c r="D6" s="38">
        <f>IF(ISERROR(TER_kantoor_gas_kWh/1000),0,TER_kantoor_gas_kWh/1000)*0.902</f>
        <v>7227.4027304912097</v>
      </c>
      <c r="E6" s="34">
        <f>$C$26*'E Balans VL '!I12/100/3.6*1000000</f>
        <v>10.045177391149609</v>
      </c>
      <c r="F6" s="34">
        <f>$C$26*('E Balans VL '!L12+'E Balans VL '!N12)/100/3.6*1000000</f>
        <v>721.47704951485991</v>
      </c>
      <c r="G6" s="35"/>
      <c r="H6" s="34"/>
      <c r="I6" s="34"/>
      <c r="J6" s="34">
        <f>$C$26*('E Balans VL '!D12+'E Balans VL '!E12)/100/3.6*1000000</f>
        <v>0</v>
      </c>
      <c r="K6" s="34"/>
      <c r="L6" s="34"/>
      <c r="M6" s="34"/>
      <c r="N6" s="34">
        <f>$C$26*'E Balans VL '!Y12/100/3.6*1000000</f>
        <v>1.2366422221574158</v>
      </c>
      <c r="O6" s="34"/>
      <c r="P6" s="34"/>
      <c r="R6" s="33"/>
    </row>
    <row r="7" spans="1:18">
      <c r="A7" s="33" t="s">
        <v>53</v>
      </c>
      <c r="B7" s="38">
        <f t="shared" ref="B7:B12" si="0">B27</f>
        <v>2650.6749165800302</v>
      </c>
      <c r="C7" s="34"/>
      <c r="D7" s="38">
        <f>IF(ISERROR(TER_horeca_gas_kWh/1000),0,TER_horeca_gas_kWh/1000)*0.902</f>
        <v>2397.0004732504976</v>
      </c>
      <c r="E7" s="34">
        <f>$C$27*'E Balans VL '!I9/100/3.6*1000000</f>
        <v>137.55084747635561</v>
      </c>
      <c r="F7" s="34">
        <f>$C$27*('E Balans VL '!L9+'E Balans VL '!N9)/100/3.6*1000000</f>
        <v>604.8859393028149</v>
      </c>
      <c r="G7" s="35"/>
      <c r="H7" s="34"/>
      <c r="I7" s="34"/>
      <c r="J7" s="34">
        <f>$C$27*('E Balans VL '!D9+'E Balans VL '!E9)/100/3.6*1000000</f>
        <v>0</v>
      </c>
      <c r="K7" s="34"/>
      <c r="L7" s="34"/>
      <c r="M7" s="34"/>
      <c r="N7" s="34">
        <f>$C$27*'E Balans VL '!Y9/100/3.6*1000000</f>
        <v>0.27991005646607547</v>
      </c>
      <c r="O7" s="34"/>
      <c r="P7" s="34"/>
      <c r="R7" s="33"/>
    </row>
    <row r="8" spans="1:18">
      <c r="A8" s="6" t="s">
        <v>52</v>
      </c>
      <c r="B8" s="38">
        <f t="shared" si="0"/>
        <v>12069.796792754199</v>
      </c>
      <c r="C8" s="34"/>
      <c r="D8" s="38">
        <f>IF(ISERROR(TER_handel_gas_kWh/1000),0,TER_handel_gas_kWh/1000)*0.902</f>
        <v>3255.0732623391837</v>
      </c>
      <c r="E8" s="34">
        <f>$C$28*'E Balans VL '!I13/100/3.6*1000000</f>
        <v>64.997338909876504</v>
      </c>
      <c r="F8" s="34">
        <f>$C$28*('E Balans VL '!L13+'E Balans VL '!N13)/100/3.6*1000000</f>
        <v>2461.39024809793</v>
      </c>
      <c r="G8" s="35"/>
      <c r="H8" s="34"/>
      <c r="I8" s="34"/>
      <c r="J8" s="34">
        <f>$C$28*('E Balans VL '!D13+'E Balans VL '!E13)/100/3.6*1000000</f>
        <v>0</v>
      </c>
      <c r="K8" s="34"/>
      <c r="L8" s="34"/>
      <c r="M8" s="34"/>
      <c r="N8" s="34">
        <f>$C$28*'E Balans VL '!Y13/100/3.6*1000000</f>
        <v>60.016725573295659</v>
      </c>
      <c r="O8" s="34"/>
      <c r="P8" s="34"/>
      <c r="R8" s="33"/>
    </row>
    <row r="9" spans="1:18">
      <c r="A9" s="33" t="s">
        <v>51</v>
      </c>
      <c r="B9" s="38">
        <f t="shared" si="0"/>
        <v>637.70678535542697</v>
      </c>
      <c r="C9" s="34"/>
      <c r="D9" s="38">
        <f>IF(ISERROR(TER_gezond_gas_kWh/1000),0,TER_gezond_gas_kWh/1000)*0.902</f>
        <v>4208.9471984457869</v>
      </c>
      <c r="E9" s="34">
        <f>$C$29*'E Balans VL '!I10/100/3.6*1000000</f>
        <v>0.63197467625877823</v>
      </c>
      <c r="F9" s="34">
        <f>$C$29*('E Balans VL '!L10+'E Balans VL '!N10)/100/3.6*1000000</f>
        <v>221.26587332542795</v>
      </c>
      <c r="G9" s="35"/>
      <c r="H9" s="34"/>
      <c r="I9" s="34"/>
      <c r="J9" s="34">
        <f>$C$29*('E Balans VL '!D10+'E Balans VL '!E10)/100/3.6*1000000</f>
        <v>0</v>
      </c>
      <c r="K9" s="34"/>
      <c r="L9" s="34"/>
      <c r="M9" s="34"/>
      <c r="N9" s="34">
        <f>$C$29*'E Balans VL '!Y10/100/3.6*1000000</f>
        <v>5.495064125133756</v>
      </c>
      <c r="O9" s="34"/>
      <c r="P9" s="34"/>
      <c r="R9" s="33"/>
    </row>
    <row r="10" spans="1:18">
      <c r="A10" s="33" t="s">
        <v>50</v>
      </c>
      <c r="B10" s="38">
        <f t="shared" si="0"/>
        <v>3981.8187402324402</v>
      </c>
      <c r="C10" s="34"/>
      <c r="D10" s="38">
        <f>IF(ISERROR(TER_ander_gas_kWh/1000),0,TER_ander_gas_kWh/1000)*0.902</f>
        <v>446.87092896067799</v>
      </c>
      <c r="E10" s="34">
        <f>$C$30*'E Balans VL '!I14/100/3.6*1000000</f>
        <v>32.575256839517678</v>
      </c>
      <c r="F10" s="34">
        <f>$C$30*('E Balans VL '!L14+'E Balans VL '!N14)/100/3.6*1000000</f>
        <v>1164.1216930891649</v>
      </c>
      <c r="G10" s="35"/>
      <c r="H10" s="34"/>
      <c r="I10" s="34"/>
      <c r="J10" s="34">
        <f>$C$30*('E Balans VL '!D14+'E Balans VL '!E14)/100/3.6*1000000</f>
        <v>0</v>
      </c>
      <c r="K10" s="34"/>
      <c r="L10" s="34"/>
      <c r="M10" s="34"/>
      <c r="N10" s="34">
        <f>$C$30*'E Balans VL '!Y14/100/3.6*1000000</f>
        <v>2296.9869543505447</v>
      </c>
      <c r="O10" s="34"/>
      <c r="P10" s="34"/>
      <c r="R10" s="33"/>
    </row>
    <row r="11" spans="1:18">
      <c r="A11" s="33" t="s">
        <v>55</v>
      </c>
      <c r="B11" s="38">
        <f t="shared" si="0"/>
        <v>111.435900338918</v>
      </c>
      <c r="C11" s="34"/>
      <c r="D11" s="38">
        <f>IF(ISERROR(TER_onderwijs_gas_kWh/1000),0,TER_onderwijs_gas_kWh/1000)*0.902</f>
        <v>192.43100438779271</v>
      </c>
      <c r="E11" s="34">
        <f>$C$31*'E Balans VL '!I11/100/3.6*1000000</f>
        <v>6.8684387021455864E-2</v>
      </c>
      <c r="F11" s="34">
        <f>$C$31*('E Balans VL '!L11+'E Balans VL '!N11)/100/3.6*1000000</f>
        <v>43.082923738581485</v>
      </c>
      <c r="G11" s="35"/>
      <c r="H11" s="34"/>
      <c r="I11" s="34"/>
      <c r="J11" s="34">
        <f>$C$31*('E Balans VL '!D11+'E Balans VL '!E11)/100/3.6*1000000</f>
        <v>0</v>
      </c>
      <c r="K11" s="34"/>
      <c r="L11" s="34"/>
      <c r="M11" s="34"/>
      <c r="N11" s="34">
        <f>$C$31*'E Balans VL '!Y11/100/3.6*1000000</f>
        <v>0.36247710359893442</v>
      </c>
      <c r="O11" s="34"/>
      <c r="P11" s="34"/>
      <c r="R11" s="33"/>
    </row>
    <row r="12" spans="1:18">
      <c r="A12" s="33" t="s">
        <v>260</v>
      </c>
      <c r="B12" s="38">
        <f t="shared" si="0"/>
        <v>3880.4663803389399</v>
      </c>
      <c r="C12" s="34"/>
      <c r="D12" s="38">
        <f>IF(ISERROR(TER_rest_gas_kWh/1000),0,TER_rest_gas_kWh/1000)*0.902</f>
        <v>4314.6238046854123</v>
      </c>
      <c r="E12" s="34">
        <f>$C$32*'E Balans VL '!I8/100/3.6*1000000</f>
        <v>33.528551568742067</v>
      </c>
      <c r="F12" s="34">
        <f>$C$32*('E Balans VL '!L8+'E Balans VL '!N8)/100/3.6*1000000</f>
        <v>772.93987552467115</v>
      </c>
      <c r="G12" s="35"/>
      <c r="H12" s="34"/>
      <c r="I12" s="34"/>
      <c r="J12" s="34">
        <f>$C$32*('E Balans VL '!D8+'E Balans VL '!E8)/100/3.6*1000000</f>
        <v>0</v>
      </c>
      <c r="K12" s="34"/>
      <c r="L12" s="34"/>
      <c r="M12" s="34"/>
      <c r="N12" s="34">
        <f>$C$32*'E Balans VL '!Y8/100/3.6*1000000</f>
        <v>255.22951116151893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29452.519192236374</v>
      </c>
      <c r="C16" s="22">
        <f t="shared" ca="1" si="1"/>
        <v>0</v>
      </c>
      <c r="D16" s="22">
        <f t="shared" ca="1" si="1"/>
        <v>22042.349402560561</v>
      </c>
      <c r="E16" s="22">
        <f t="shared" si="1"/>
        <v>279.3978312489217</v>
      </c>
      <c r="F16" s="22">
        <f t="shared" ca="1" si="1"/>
        <v>5989.1636025934504</v>
      </c>
      <c r="G16" s="22">
        <f t="shared" si="1"/>
        <v>0</v>
      </c>
      <c r="H16" s="22">
        <f t="shared" si="1"/>
        <v>0</v>
      </c>
      <c r="I16" s="22">
        <f t="shared" si="1"/>
        <v>0</v>
      </c>
      <c r="J16" s="22">
        <f t="shared" si="1"/>
        <v>0</v>
      </c>
      <c r="K16" s="22">
        <f t="shared" si="1"/>
        <v>0</v>
      </c>
      <c r="L16" s="22">
        <f t="shared" ca="1" si="1"/>
        <v>0</v>
      </c>
      <c r="M16" s="22">
        <f t="shared" si="1"/>
        <v>0</v>
      </c>
      <c r="N16" s="22">
        <f t="shared" ca="1" si="1"/>
        <v>2619.6072845927156</v>
      </c>
      <c r="O16" s="22">
        <f>O5</f>
        <v>7.8166666666666664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0.20864176043746566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6145.0254535864406</v>
      </c>
      <c r="C20" s="24">
        <f t="shared" ref="C20:P20" ca="1" si="2">C16*C18</f>
        <v>0</v>
      </c>
      <c r="D20" s="24">
        <f t="shared" ca="1" si="2"/>
        <v>4452.5545793172341</v>
      </c>
      <c r="E20" s="24">
        <f t="shared" si="2"/>
        <v>63.42330769350523</v>
      </c>
      <c r="F20" s="24">
        <f t="shared" ca="1" si="2"/>
        <v>1599.1066818924514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6120.6196766364201</v>
      </c>
      <c r="C26" s="40">
        <f>IF(ISERROR(B26*3.6/1000000/'E Balans VL '!Z12*100),0,B26*3.6/1000000/'E Balans VL '!Z12*100)</f>
        <v>0.13005877884214714</v>
      </c>
      <c r="D26" s="240" t="s">
        <v>707</v>
      </c>
      <c r="F26" s="6"/>
    </row>
    <row r="27" spans="1:18">
      <c r="A27" s="234" t="s">
        <v>53</v>
      </c>
      <c r="B27" s="34">
        <f>IF(ISERROR(TER_horeca_ele_kWh/1000),0,TER_horeca_ele_kWh/1000)</f>
        <v>2650.6749165800302</v>
      </c>
      <c r="C27" s="40">
        <f>IF(ISERROR(B27*3.6/1000000/'E Balans VL '!Z9*100),0,B27*3.6/1000000/'E Balans VL '!Z9*100)</f>
        <v>0.20862861351508727</v>
      </c>
      <c r="D27" s="240" t="s">
        <v>707</v>
      </c>
      <c r="F27" s="6"/>
    </row>
    <row r="28" spans="1:18">
      <c r="A28" s="174" t="s">
        <v>52</v>
      </c>
      <c r="B28" s="34">
        <f>IF(ISERROR(TER_handel_ele_kWh/1000),0,TER_handel_ele_kWh/1000)</f>
        <v>12069.796792754199</v>
      </c>
      <c r="C28" s="40">
        <f>IF(ISERROR(B28*3.6/1000000/'E Balans VL '!Z13*100),0,B28*3.6/1000000/'E Balans VL '!Z13*100)</f>
        <v>0.33808146766526942</v>
      </c>
      <c r="D28" s="240" t="s">
        <v>707</v>
      </c>
      <c r="F28" s="6"/>
    </row>
    <row r="29" spans="1:18">
      <c r="A29" s="234" t="s">
        <v>51</v>
      </c>
      <c r="B29" s="34">
        <f>IF(ISERROR(TER_gezond_ele_kWh/1000),0,TER_gezond_ele_kWh/1000)</f>
        <v>637.70678535542697</v>
      </c>
      <c r="C29" s="40">
        <f>IF(ISERROR(B29*3.6/1000000/'E Balans VL '!Z10*100),0,B29*3.6/1000000/'E Balans VL '!Z10*100)</f>
        <v>8.1581981323517974E-2</v>
      </c>
      <c r="D29" s="240" t="s">
        <v>707</v>
      </c>
      <c r="F29" s="6"/>
    </row>
    <row r="30" spans="1:18">
      <c r="A30" s="234" t="s">
        <v>50</v>
      </c>
      <c r="B30" s="34">
        <f>IF(ISERROR(TER_ander_ele_kWh/1000),0,TER_ander_ele_kWh/1000)</f>
        <v>3981.8187402324402</v>
      </c>
      <c r="C30" s="40">
        <f>IF(ISERROR(B30*3.6/1000000/'E Balans VL '!Z14*100),0,B30*3.6/1000000/'E Balans VL '!Z14*100)</f>
        <v>0.29780649037857543</v>
      </c>
      <c r="D30" s="240" t="s">
        <v>707</v>
      </c>
      <c r="F30" s="6"/>
    </row>
    <row r="31" spans="1:18">
      <c r="A31" s="234" t="s">
        <v>55</v>
      </c>
      <c r="B31" s="34">
        <f>IF(ISERROR(TER_onderwijs_ele_kWh/1000),0,TER_onderwijs_ele_kWh/1000)</f>
        <v>111.435900338918</v>
      </c>
      <c r="C31" s="40">
        <f>IF(ISERROR(B31*3.6/1000000/'E Balans VL '!Z11*100),0,B31*3.6/1000000/'E Balans VL '!Z11*100)</f>
        <v>2.352983470294933E-2</v>
      </c>
      <c r="D31" s="240" t="s">
        <v>707</v>
      </c>
    </row>
    <row r="32" spans="1:18">
      <c r="A32" s="234" t="s">
        <v>260</v>
      </c>
      <c r="B32" s="34">
        <f>IF(ISERROR(TER_rest_ele_kWh/1000),0,TER_rest_ele_kWh/1000)</f>
        <v>3880.4663803389399</v>
      </c>
      <c r="C32" s="40">
        <f>IF(ISERROR(B32*3.6/1000000/'E Balans VL '!Z8*100),0,B32*3.6/1000000/'E Balans VL '!Z8*100)</f>
        <v>3.1967018423454743E-2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5</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71820.441168852994</v>
      </c>
      <c r="C5" s="18">
        <f>IF(ISERROR('Eigen informatie GS &amp; warmtenet'!B59),0,'Eigen informatie GS &amp; warmtenet'!B59)</f>
        <v>0</v>
      </c>
      <c r="D5" s="31">
        <f>SUM(D6:D15)</f>
        <v>199209.52722953123</v>
      </c>
      <c r="E5" s="18">
        <f>SUM(E6:E15)</f>
        <v>788.66333987459598</v>
      </c>
      <c r="F5" s="18">
        <f>SUM(F6:F15)</f>
        <v>18166.631842286199</v>
      </c>
      <c r="G5" s="19"/>
      <c r="H5" s="18"/>
      <c r="I5" s="18"/>
      <c r="J5" s="18">
        <f>SUM(J6:J15)</f>
        <v>292.51729468537224</v>
      </c>
      <c r="K5" s="18"/>
      <c r="L5" s="18"/>
      <c r="M5" s="18"/>
      <c r="N5" s="18">
        <f>SUM(N6:N15)</f>
        <v>4491.9708010278628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1669.4138702063199</v>
      </c>
      <c r="C8" s="34"/>
      <c r="D8" s="38">
        <f>IF( ISERROR(IND_metaal_Gas_kWH/1000),0,IND_metaal_Gas_kWH/1000)*0.902</f>
        <v>0</v>
      </c>
      <c r="E8" s="34">
        <f>C30*'E Balans VL '!I18/100/3.6*1000000</f>
        <v>15.203051266964883</v>
      </c>
      <c r="F8" s="34">
        <f>C30*'E Balans VL '!L18/100/3.6*1000000+C30*'E Balans VL '!N18/100/3.6*1000000</f>
        <v>220.18301173353612</v>
      </c>
      <c r="G8" s="35"/>
      <c r="H8" s="34"/>
      <c r="I8" s="34"/>
      <c r="J8" s="41">
        <f>C30*'E Balans VL '!D18/100/3.6*1000000+C30*'E Balans VL '!E18/100/3.6*1000000</f>
        <v>27.375963569726196</v>
      </c>
      <c r="K8" s="34"/>
      <c r="L8" s="34"/>
      <c r="M8" s="34"/>
      <c r="N8" s="34">
        <f>C30*'E Balans VL '!Y18/100/3.6*1000000</f>
        <v>5.7371122989403487</v>
      </c>
      <c r="O8" s="34"/>
      <c r="P8" s="34"/>
      <c r="R8" s="33"/>
    </row>
    <row r="9" spans="1:18">
      <c r="A9" s="6" t="s">
        <v>33</v>
      </c>
      <c r="B9" s="38">
        <f t="shared" si="0"/>
        <v>7715.3829258743299</v>
      </c>
      <c r="C9" s="34"/>
      <c r="D9" s="38">
        <f>IF( ISERROR(IND_andere_gas_kWh/1000),0,IND_andere_gas_kWh/1000)*0.902</f>
        <v>1599.0354571364805</v>
      </c>
      <c r="E9" s="34">
        <f>C31*'E Balans VL '!I19/100/3.6*1000000</f>
        <v>44.596066280166426</v>
      </c>
      <c r="F9" s="34">
        <f>C31*'E Balans VL '!L19/100/3.6*1000000+C31*'E Balans VL '!N19/100/3.6*1000000</f>
        <v>6137.958367068537</v>
      </c>
      <c r="G9" s="35"/>
      <c r="H9" s="34"/>
      <c r="I9" s="34"/>
      <c r="J9" s="41">
        <f>C31*'E Balans VL '!D19/100/3.6*1000000+C31*'E Balans VL '!E19/100/3.6*1000000</f>
        <v>0.72978952474152181</v>
      </c>
      <c r="K9" s="34"/>
      <c r="L9" s="34"/>
      <c r="M9" s="34"/>
      <c r="N9" s="34">
        <f>C31*'E Balans VL '!Y19/100/3.6*1000000</f>
        <v>584.55701589535283</v>
      </c>
      <c r="O9" s="34"/>
      <c r="P9" s="34"/>
      <c r="R9" s="33"/>
    </row>
    <row r="10" spans="1:18">
      <c r="A10" s="6" t="s">
        <v>41</v>
      </c>
      <c r="B10" s="38">
        <f t="shared" si="0"/>
        <v>3823.4416233797001</v>
      </c>
      <c r="C10" s="34"/>
      <c r="D10" s="38">
        <f>IF( ISERROR(IND_voed_gas_kWh/1000),0,IND_voed_gas_kWh/1000)*0.902</f>
        <v>4216.4731976934518</v>
      </c>
      <c r="E10" s="34">
        <f>C32*'E Balans VL '!I20/100/3.6*1000000</f>
        <v>37.594433859652163</v>
      </c>
      <c r="F10" s="34">
        <f>C32*'E Balans VL '!L20/100/3.6*1000000+C32*'E Balans VL '!N20/100/3.6*1000000</f>
        <v>424.64309830017754</v>
      </c>
      <c r="G10" s="35"/>
      <c r="H10" s="34"/>
      <c r="I10" s="34"/>
      <c r="J10" s="41">
        <f>C32*'E Balans VL '!D20/100/3.6*1000000+C32*'E Balans VL '!E20/100/3.6*1000000</f>
        <v>1.5069919175793055E-2</v>
      </c>
      <c r="K10" s="34"/>
      <c r="L10" s="34"/>
      <c r="M10" s="34"/>
      <c r="N10" s="34">
        <f>C32*'E Balans VL '!Y20/100/3.6*1000000</f>
        <v>56.616176759551507</v>
      </c>
      <c r="O10" s="34"/>
      <c r="P10" s="34"/>
      <c r="R10" s="33"/>
    </row>
    <row r="11" spans="1:18">
      <c r="A11" s="6" t="s">
        <v>40</v>
      </c>
      <c r="B11" s="38">
        <f t="shared" si="0"/>
        <v>119.33106119851999</v>
      </c>
      <c r="C11" s="34"/>
      <c r="D11" s="38">
        <f>IF( ISERROR(IND_textiel_gas_kWh/1000),0,IND_textiel_gas_kWh/1000)*0.902</f>
        <v>235.0267728437411</v>
      </c>
      <c r="E11" s="34">
        <f>C33*'E Balans VL '!I21/100/3.6*1000000</f>
        <v>0.23236528564287337</v>
      </c>
      <c r="F11" s="34">
        <f>C33*'E Balans VL '!L21/100/3.6*1000000+C33*'E Balans VL '!N21/100/3.6*1000000</f>
        <v>3.9359299836319943</v>
      </c>
      <c r="G11" s="35"/>
      <c r="H11" s="34"/>
      <c r="I11" s="34"/>
      <c r="J11" s="41">
        <f>C33*'E Balans VL '!D21/100/3.6*1000000+C33*'E Balans VL '!E21/100/3.6*1000000</f>
        <v>0</v>
      </c>
      <c r="K11" s="34"/>
      <c r="L11" s="34"/>
      <c r="M11" s="34"/>
      <c r="N11" s="34">
        <f>C33*'E Balans VL '!Y21/100/3.6*1000000</f>
        <v>1.2377769664762543</v>
      </c>
      <c r="O11" s="34"/>
      <c r="P11" s="34"/>
      <c r="R11" s="33"/>
    </row>
    <row r="12" spans="1:18">
      <c r="A12" s="6" t="s">
        <v>37</v>
      </c>
      <c r="B12" s="38">
        <f t="shared" si="0"/>
        <v>705.46257582042199</v>
      </c>
      <c r="C12" s="34"/>
      <c r="D12" s="38">
        <f>IF( ISERROR(IND_min_gas_kWh/1000),0,IND_min_gas_kWh/1000)*0.902</f>
        <v>798.40997069673188</v>
      </c>
      <c r="E12" s="34">
        <f>C34*'E Balans VL '!I22/100/3.6*1000000</f>
        <v>17.884731664228998</v>
      </c>
      <c r="F12" s="34">
        <f>C34*'E Balans VL '!L22/100/3.6*1000000+C34*'E Balans VL '!N22/100/3.6*1000000</f>
        <v>195.20395368300566</v>
      </c>
      <c r="G12" s="35"/>
      <c r="H12" s="34"/>
      <c r="I12" s="34"/>
      <c r="J12" s="41">
        <f>C34*'E Balans VL '!D22/100/3.6*1000000+C34*'E Balans VL '!E22/100/3.6*1000000</f>
        <v>4.6590166140772311</v>
      </c>
      <c r="K12" s="34"/>
      <c r="L12" s="34"/>
      <c r="M12" s="34"/>
      <c r="N12" s="34">
        <f>C34*'E Balans VL '!Y22/100/3.6*1000000</f>
        <v>0</v>
      </c>
      <c r="O12" s="34"/>
      <c r="P12" s="34"/>
      <c r="R12" s="33"/>
    </row>
    <row r="13" spans="1:18">
      <c r="A13" s="6" t="s">
        <v>39</v>
      </c>
      <c r="B13" s="38">
        <f t="shared" si="0"/>
        <v>6137.1180397896896</v>
      </c>
      <c r="C13" s="34"/>
      <c r="D13" s="38">
        <f>IF( ISERROR(IND_papier_gas_kWh/1000),0,IND_papier_gas_kWh/1000)*0.902</f>
        <v>6175.2466770001256</v>
      </c>
      <c r="E13" s="34">
        <f>C35*'E Balans VL '!I23/100/3.6*1000000</f>
        <v>209.03913868110067</v>
      </c>
      <c r="F13" s="34">
        <f>C35*'E Balans VL '!L23/100/3.6*1000000+C35*'E Balans VL '!N23/100/3.6*1000000</f>
        <v>1013.7078651132996</v>
      </c>
      <c r="G13" s="35"/>
      <c r="H13" s="34"/>
      <c r="I13" s="34"/>
      <c r="J13" s="41">
        <f>C35*'E Balans VL '!D23/100/3.6*1000000+C35*'E Balans VL '!E23/100/3.6*1000000</f>
        <v>0</v>
      </c>
      <c r="K13" s="34"/>
      <c r="L13" s="34"/>
      <c r="M13" s="34"/>
      <c r="N13" s="34">
        <f>C35*'E Balans VL '!Y23/100/3.6*1000000</f>
        <v>2258.2948538953974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51650.291072584005</v>
      </c>
      <c r="C15" s="34"/>
      <c r="D15" s="38">
        <f>IF( ISERROR(IND_rest_gas_kWh/1000),0,IND_rest_gas_kWh/1000)*0.902</f>
        <v>186185.33515416071</v>
      </c>
      <c r="E15" s="34">
        <f>C37*'E Balans VL '!I15/100/3.6*1000000</f>
        <v>464.11355283683997</v>
      </c>
      <c r="F15" s="34">
        <f>C37*'E Balans VL '!L15/100/3.6*1000000+C37*'E Balans VL '!N15/100/3.6*1000000</f>
        <v>10170.999616404011</v>
      </c>
      <c r="G15" s="35"/>
      <c r="H15" s="34"/>
      <c r="I15" s="34"/>
      <c r="J15" s="41">
        <f>C37*'E Balans VL '!D15/100/3.6*1000000+C37*'E Balans VL '!E15/100/3.6*1000000</f>
        <v>259.73745505765146</v>
      </c>
      <c r="K15" s="34"/>
      <c r="L15" s="34"/>
      <c r="M15" s="34"/>
      <c r="N15" s="34">
        <f>C37*'E Balans VL '!Y15/100/3.6*1000000</f>
        <v>1585.5278652121444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71820.441168852994</v>
      </c>
      <c r="C18" s="22">
        <f>C5+C16</f>
        <v>0</v>
      </c>
      <c r="D18" s="22">
        <f>MAX((D5+D16),0)</f>
        <v>199209.52722953123</v>
      </c>
      <c r="E18" s="22">
        <f>MAX((E5+E16),0)</f>
        <v>788.66333987459598</v>
      </c>
      <c r="F18" s="22">
        <f>MAX((F5+F16),0)</f>
        <v>18166.631842286199</v>
      </c>
      <c r="G18" s="22"/>
      <c r="H18" s="22"/>
      <c r="I18" s="22"/>
      <c r="J18" s="22">
        <f>MAX((J5+J16),0)</f>
        <v>292.51729468537224</v>
      </c>
      <c r="K18" s="22"/>
      <c r="L18" s="22">
        <f>MAX((L5+L16),0)</f>
        <v>0</v>
      </c>
      <c r="M18" s="22"/>
      <c r="N18" s="22">
        <f>MAX((N5+N16),0)</f>
        <v>4491.9708010278628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0.20864176043746566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14984.743280864923</v>
      </c>
      <c r="C22" s="24">
        <f ca="1">C18*C20</f>
        <v>0</v>
      </c>
      <c r="D22" s="24">
        <f>D18*D20</f>
        <v>40240.324500365314</v>
      </c>
      <c r="E22" s="24">
        <f>E18*E20</f>
        <v>179.0265781515333</v>
      </c>
      <c r="F22" s="24">
        <f>F18*F20</f>
        <v>4850.490701890415</v>
      </c>
      <c r="G22" s="24"/>
      <c r="H22" s="24"/>
      <c r="I22" s="24"/>
      <c r="J22" s="24">
        <f>J18*J20</f>
        <v>103.55112231862176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1669.4138702063199</v>
      </c>
      <c r="C30" s="40">
        <f>IF(ISERROR(B30*3.6/1000000/'E Balans VL '!Z18*100),0,B30*3.6/1000000/'E Balans VL '!Z18*100)</f>
        <v>9.2891718602209628E-2</v>
      </c>
      <c r="D30" s="240" t="s">
        <v>707</v>
      </c>
    </row>
    <row r="31" spans="1:18">
      <c r="A31" s="6" t="s">
        <v>33</v>
      </c>
      <c r="B31" s="38">
        <f>IF( ISERROR(IND_ander_ele_kWh/1000),0,IND_ander_ele_kWh/1000)</f>
        <v>7715.3829258743299</v>
      </c>
      <c r="C31" s="40">
        <f>IF(ISERROR(B31*3.6/1000000/'E Balans VL '!Z19*100),0,B31*3.6/1000000/'E Balans VL '!Z19*100)</f>
        <v>0.35866788929276155</v>
      </c>
      <c r="D31" s="240" t="s">
        <v>707</v>
      </c>
    </row>
    <row r="32" spans="1:18">
      <c r="A32" s="174" t="s">
        <v>41</v>
      </c>
      <c r="B32" s="38">
        <f>IF( ISERROR(IND_voed_ele_kWh/1000),0,IND_voed_ele_kWh/1000)</f>
        <v>3823.4416233797001</v>
      </c>
      <c r="C32" s="40">
        <f>IF(ISERROR(B32*3.6/1000000/'E Balans VL '!Z20*100),0,B32*3.6/1000000/'E Balans VL '!Z20*100)</f>
        <v>0.13515093961909375</v>
      </c>
      <c r="D32" s="240" t="s">
        <v>707</v>
      </c>
    </row>
    <row r="33" spans="1:5">
      <c r="A33" s="174" t="s">
        <v>40</v>
      </c>
      <c r="B33" s="38">
        <f>IF( ISERROR(IND_textiel_ele_kWh/1000),0,IND_textiel_ele_kWh/1000)</f>
        <v>119.33106119851999</v>
      </c>
      <c r="C33" s="40">
        <f>IF(ISERROR(B33*3.6/1000000/'E Balans VL '!Z21*100),0,B33*3.6/1000000/'E Balans VL '!Z21*100)</f>
        <v>1.6117470536819601E-2</v>
      </c>
      <c r="D33" s="240" t="s">
        <v>707</v>
      </c>
    </row>
    <row r="34" spans="1:5">
      <c r="A34" s="174" t="s">
        <v>37</v>
      </c>
      <c r="B34" s="38">
        <f>IF( ISERROR(IND_min_ele_kWh/1000),0,IND_min_ele_kWh/1000)</f>
        <v>705.46257582042199</v>
      </c>
      <c r="C34" s="40">
        <f>IF(ISERROR(B34*3.6/1000000/'E Balans VL '!Z22*100),0,B34*3.6/1000000/'E Balans VL '!Z22*100)</f>
        <v>0.1417780843673464</v>
      </c>
      <c r="D34" s="240" t="s">
        <v>707</v>
      </c>
    </row>
    <row r="35" spans="1:5">
      <c r="A35" s="174" t="s">
        <v>39</v>
      </c>
      <c r="B35" s="38">
        <f>IF( ISERROR(IND_papier_ele_kWh/1000),0,IND_papier_ele_kWh/1000)</f>
        <v>6137.1180397896896</v>
      </c>
      <c r="C35" s="40">
        <f>IF(ISERROR(B35*3.6/1000000/'E Balans VL '!Z22*100),0,B35*3.6/1000000/'E Balans VL '!Z22*100)</f>
        <v>1.2333876651157121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51650.291072584005</v>
      </c>
      <c r="C37" s="40">
        <f>IF(ISERROR(B37*3.6/1000000/'E Balans VL '!Z15*100),0,B37*3.6/1000000/'E Balans VL '!Z15*100)</f>
        <v>0.39003599661547689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6416.3548136290201</v>
      </c>
      <c r="C5" s="18">
        <f>'Eigen informatie GS &amp; warmtenet'!B60</f>
        <v>0</v>
      </c>
      <c r="D5" s="31">
        <f>IF(ISERROR(SUM(LB_lb_gas_kWh,LB_rest_gas_kWh,onbekend_gas_kWh)/1000),0,SUM(LB_lb_gas_kWh,LB_rest_gas_kWh,onbekend_gas_kWh)/1000)*0.902</f>
        <v>13611.243841426734</v>
      </c>
      <c r="E5" s="18">
        <f>B17*'E Balans VL '!I25/3.6*1000000/100</f>
        <v>60.446361443134244</v>
      </c>
      <c r="F5" s="18">
        <f>B17*('E Balans VL '!L25/3.6*1000000+'E Balans VL '!N25/3.6*1000000)/100</f>
        <v>20938.695158023176</v>
      </c>
      <c r="G5" s="19"/>
      <c r="H5" s="18"/>
      <c r="I5" s="18"/>
      <c r="J5" s="18">
        <f>('E Balans VL '!D25+'E Balans VL '!E25)/3.6*1000000*landbouw!B17/100</f>
        <v>793.73429958972815</v>
      </c>
      <c r="K5" s="18"/>
      <c r="L5" s="18">
        <f>L6*(-1)</f>
        <v>0</v>
      </c>
      <c r="M5" s="18"/>
      <c r="N5" s="18">
        <f>N6*(-1)</f>
        <v>0</v>
      </c>
      <c r="O5" s="18"/>
      <c r="P5" s="18"/>
      <c r="R5" s="33"/>
    </row>
    <row r="6" spans="1:18">
      <c r="A6" s="17" t="s">
        <v>502</v>
      </c>
      <c r="B6" s="18" t="s">
        <v>211</v>
      </c>
      <c r="C6" s="18">
        <f>'lokale energieproductie'!O91+'lokale energieproductie'!O60</f>
        <v>2274.1071428571431</v>
      </c>
      <c r="D6" s="312">
        <f>('lokale energieproductie'!P60+'lokale energieproductie'!P91)*(-1)</f>
        <v>-4548.2142857142862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6416.3548136290201</v>
      </c>
      <c r="C8" s="22">
        <f>C5+C6</f>
        <v>2274.1071428571431</v>
      </c>
      <c r="D8" s="22">
        <f>MAX((D5+D6),0)</f>
        <v>9063.0295557124482</v>
      </c>
      <c r="E8" s="22">
        <f>MAX((E5+E6),0)</f>
        <v>60.446361443134244</v>
      </c>
      <c r="F8" s="22">
        <f>MAX((F5+F6),0)</f>
        <v>20938.695158023176</v>
      </c>
      <c r="G8" s="22"/>
      <c r="H8" s="22"/>
      <c r="I8" s="22"/>
      <c r="J8" s="22">
        <f>MAX((J5+J6),0)</f>
        <v>793.73429958972815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0.20864176043746566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1338.7195639069655</v>
      </c>
      <c r="C12" s="24">
        <f ca="1">C8*C10</f>
        <v>540.43487394957992</v>
      </c>
      <c r="D12" s="24">
        <f>D8*D10</f>
        <v>1830.7319702539146</v>
      </c>
      <c r="E12" s="24">
        <f>E8*E10</f>
        <v>13.721324047591473</v>
      </c>
      <c r="F12" s="24">
        <f>F8*F10</f>
        <v>5590.6316071921883</v>
      </c>
      <c r="G12" s="24"/>
      <c r="H12" s="24"/>
      <c r="I12" s="24"/>
      <c r="J12" s="24">
        <f>J8*J10</f>
        <v>280.98194205476375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0.86867191169302316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1113.3633257736153</v>
      </c>
      <c r="C26" s="250">
        <f>B26*'GWP N2O_CH4'!B5</f>
        <v>23380.629841245922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682.76932899262135</v>
      </c>
      <c r="C27" s="250">
        <f>B27*'GWP N2O_CH4'!B5</f>
        <v>14338.155908845049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15.914637739025796</v>
      </c>
      <c r="C28" s="250">
        <f>B28*'GWP N2O_CH4'!B4</f>
        <v>4933.5376990979967</v>
      </c>
      <c r="D28" s="51"/>
    </row>
    <row r="29" spans="1:4">
      <c r="A29" s="42" t="s">
        <v>277</v>
      </c>
      <c r="B29" s="250">
        <f>B34*'ha_N2O bodem landbouw'!B4</f>
        <v>27.328632852266015</v>
      </c>
      <c r="C29" s="250">
        <f>B29*'GWP N2O_CH4'!B4</f>
        <v>8471.8761842024651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7.3778705574573077E-3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3.3463211481981763E-5</v>
      </c>
      <c r="C5" s="447" t="s">
        <v>211</v>
      </c>
      <c r="D5" s="432">
        <f>SUM(D6:D11)</f>
        <v>8.8595817593524039E-5</v>
      </c>
      <c r="E5" s="432">
        <f>SUM(E6:E11)</f>
        <v>6.1486528320803327E-3</v>
      </c>
      <c r="F5" s="445" t="s">
        <v>211</v>
      </c>
      <c r="G5" s="432">
        <f>SUM(G6:G11)</f>
        <v>1.4439196923964448</v>
      </c>
      <c r="H5" s="432">
        <f>SUM(H6:H11)</f>
        <v>0.2062802680008568</v>
      </c>
      <c r="I5" s="447" t="s">
        <v>211</v>
      </c>
      <c r="J5" s="447" t="s">
        <v>211</v>
      </c>
      <c r="K5" s="447" t="s">
        <v>211</v>
      </c>
      <c r="L5" s="447" t="s">
        <v>211</v>
      </c>
      <c r="M5" s="432">
        <f>SUM(M6:M11)</f>
        <v>7.3734395052700463E-2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5.8027417339181693E-6</v>
      </c>
      <c r="C6" s="433"/>
      <c r="D6" s="433">
        <f>vkm_2011_GW_PW*SUMIFS(TableVerdeelsleutelVkm[CNG],TableVerdeelsleutelVkm[Voertuigtype],"Lichte voertuigen")*SUMIFS(TableECFTransport[EnergieConsumptieFactor (PJ per km)],TableECFTransport[Index],CONCATENATE($A6,"_CNG_CNG"))</f>
        <v>1.4170392493361676E-5</v>
      </c>
      <c r="E6" s="435">
        <f>vkm_2011_GW_PW*SUMIFS(TableVerdeelsleutelVkm[LPG],TableVerdeelsleutelVkm[Voertuigtype],"Lichte voertuigen")*SUMIFS(TableECFTransport[EnergieConsumptieFactor (PJ per km)],TableECFTransport[Index],CONCATENATE($A6,"_LPG_LPG"))</f>
        <v>8.3994763638744552E-4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0.12142431154399266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3.1821823599829831E-2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6.862644151807931E-3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9.6513028797172482E-2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3.8939244392939074E-5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4.2996255719920098E-3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2.4370674295678418E-6</v>
      </c>
      <c r="C8" s="433"/>
      <c r="D8" s="435">
        <f>vkm_2011_NGW_PW*SUMIFS(TableVerdeelsleutelVkm[CNG],TableVerdeelsleutelVkm[Voertuigtype],"Lichte voertuigen")*SUMIFS(TableECFTransport[EnergieConsumptieFactor (PJ per km)],TableECFTransport[Index],CONCATENATE($A8,"_CNG_CNG"))</f>
        <v>1.0677750043927094E-5</v>
      </c>
      <c r="E8" s="435">
        <f>vkm_2011_NGW_PW*SUMIFS(TableVerdeelsleutelVkm[LPG],TableVerdeelsleutelVkm[Voertuigtype],"Lichte voertuigen")*SUMIFS(TableECFTransport[EnergieConsumptieFactor (PJ per km)],TableECFTransport[Index],CONCATENATE($A8,"_LPG_LPG"))</f>
        <v>5.806423199151196E-4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7.9295606241177E-2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2.2961792304468522E-2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4.5813599029689072E-3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8.6051974605357885E-3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3.022934686008448E-6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3.8333835137501968E-4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2.5223402318495751E-5</v>
      </c>
      <c r="C10" s="433"/>
      <c r="D10" s="435">
        <f>vkm_2011_SW_PW*SUMIFS(TableVerdeelsleutelVkm[CNG],TableVerdeelsleutelVkm[Voertuigtype],"Lichte voertuigen")*SUMIFS(TableECFTransport[EnergieConsumptieFactor (PJ per km)],TableECFTransport[Index],CONCATENATE($A10,"_CNG_CNG"))</f>
        <v>6.3747675056235261E-5</v>
      </c>
      <c r="E10" s="435">
        <f>vkm_2011_SW_PW*SUMIFS(TableVerdeelsleutelVkm[LPG],TableVerdeelsleutelVkm[Voertuigtype],"Lichte voertuigen")*SUMIFS(TableECFTransport[EnergieConsumptieFactor (PJ per km)],TableECFTransport[Index],CONCATENATE($A10,"_LPG_LPG"))</f>
        <v>4.7280628757777679E-3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0.62289583967015438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0.1512341639563734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3.4655483711921717E-2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0.51518570868341251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2.2052596110610112E-4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2.2951943362634879E-2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9.2953365227727129</v>
      </c>
      <c r="C14" s="22"/>
      <c r="D14" s="22">
        <f t="shared" ref="D14:M14" si="0">((D5)*10^9/3600)+D12</f>
        <v>24.609949331534455</v>
      </c>
      <c r="E14" s="22">
        <f t="shared" si="0"/>
        <v>1707.9591200223147</v>
      </c>
      <c r="F14" s="22"/>
      <c r="G14" s="22">
        <f t="shared" si="0"/>
        <v>401088.80344345688</v>
      </c>
      <c r="H14" s="22">
        <f t="shared" si="0"/>
        <v>57300.074444682446</v>
      </c>
      <c r="I14" s="22"/>
      <c r="J14" s="22"/>
      <c r="K14" s="22"/>
      <c r="L14" s="22"/>
      <c r="M14" s="22">
        <f t="shared" si="0"/>
        <v>20481.776403527907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0.20864176043746566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1.9393953759699694</v>
      </c>
      <c r="C18" s="24"/>
      <c r="D18" s="24">
        <f t="shared" ref="D18:M18" si="1">D14*D16</f>
        <v>4.9712097649699603</v>
      </c>
      <c r="E18" s="24">
        <f t="shared" si="1"/>
        <v>387.70672024506547</v>
      </c>
      <c r="F18" s="24"/>
      <c r="G18" s="24">
        <f t="shared" si="1"/>
        <v>107090.710519403</v>
      </c>
      <c r="H18" s="24">
        <f t="shared" si="1"/>
        <v>14267.71853672593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2.5250016962898771E-3</v>
      </c>
      <c r="H50" s="323">
        <f t="shared" si="2"/>
        <v>0</v>
      </c>
      <c r="I50" s="323">
        <f t="shared" si="2"/>
        <v>0</v>
      </c>
      <c r="J50" s="323">
        <f t="shared" si="2"/>
        <v>0</v>
      </c>
      <c r="K50" s="323">
        <f t="shared" si="2"/>
        <v>0</v>
      </c>
      <c r="L50" s="323">
        <f t="shared" si="2"/>
        <v>0</v>
      </c>
      <c r="M50" s="323">
        <f t="shared" si="2"/>
        <v>1.1087698973492753E-4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2.5250016962898771E-3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1.1087698973492753E-4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701.38936008052133</v>
      </c>
      <c r="H54" s="22">
        <f t="shared" si="3"/>
        <v>0</v>
      </c>
      <c r="I54" s="22">
        <f t="shared" si="3"/>
        <v>0</v>
      </c>
      <c r="J54" s="22">
        <f t="shared" si="3"/>
        <v>0</v>
      </c>
      <c r="K54" s="22">
        <f t="shared" si="3"/>
        <v>0</v>
      </c>
      <c r="L54" s="22">
        <f t="shared" si="3"/>
        <v>0</v>
      </c>
      <c r="M54" s="22">
        <f t="shared" si="3"/>
        <v>30.799163815257646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0.20864176043746566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187.27095914149922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8625.1876107301578</v>
      </c>
      <c r="C6" s="1190"/>
      <c r="D6" s="1193"/>
      <c r="E6" s="1193"/>
      <c r="F6" s="1196"/>
      <c r="G6" s="1199"/>
      <c r="H6" s="1187"/>
      <c r="I6" s="1193"/>
      <c r="J6" s="1193"/>
      <c r="K6" s="1193"/>
      <c r="L6" s="1223"/>
      <c r="M6" s="560"/>
      <c r="N6" s="1235"/>
      <c r="O6" s="1236"/>
      <c r="Q6" s="558"/>
      <c r="R6" s="1220"/>
      <c r="S6" s="1220"/>
    </row>
    <row r="7" spans="1:19" s="548" customFormat="1">
      <c r="A7" s="561" t="s">
        <v>252</v>
      </c>
      <c r="B7" s="562">
        <f>N57</f>
        <v>1591.875</v>
      </c>
      <c r="C7" s="563">
        <f>B100</f>
        <v>1872.794117647059</v>
      </c>
      <c r="D7" s="564"/>
      <c r="E7" s="564">
        <f>E100</f>
        <v>0</v>
      </c>
      <c r="F7" s="565"/>
      <c r="G7" s="566"/>
      <c r="H7" s="564">
        <f>I100</f>
        <v>0</v>
      </c>
      <c r="I7" s="564">
        <f>G100+F100</f>
        <v>0</v>
      </c>
      <c r="J7" s="564">
        <f>H100+D100+C100</f>
        <v>0</v>
      </c>
      <c r="K7" s="564"/>
      <c r="L7" s="567"/>
      <c r="M7" s="568">
        <f>C7*$C$11+D7*$D$11+E7*$E$11+F7*$F$11+G7*$G$11+H7*$H$11+I7*$I$11+J7*$J$11</f>
        <v>378.30441176470595</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10217.062610730158</v>
      </c>
      <c r="C9" s="579">
        <f t="shared" ref="C9:L9" si="0">SUM(C7:C8)</f>
        <v>1872.794117647059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378.30441176470595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2274.1071428571431</v>
      </c>
      <c r="C16" s="595">
        <f>B101</f>
        <v>2675.4201680672272</v>
      </c>
      <c r="D16" s="596"/>
      <c r="E16" s="596">
        <f>E101</f>
        <v>0</v>
      </c>
      <c r="F16" s="597"/>
      <c r="G16" s="598"/>
      <c r="H16" s="595">
        <f>I101</f>
        <v>0</v>
      </c>
      <c r="I16" s="596">
        <f>G101+F101</f>
        <v>0</v>
      </c>
      <c r="J16" s="596">
        <f>H101+D101+C101</f>
        <v>0</v>
      </c>
      <c r="K16" s="596"/>
      <c r="L16" s="599"/>
      <c r="M16" s="600">
        <f>C16*$C$21+E16*$E$21+H16*$H$21+I16*$I$21+J16*$J$21+D16*$D$21+F16*$F$21+G16*$G$21+K16*$K$21+L16*$L$21</f>
        <v>540.43487394957992</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2274.1071428571431</v>
      </c>
      <c r="C19" s="578">
        <f>SUM(C16:C18)</f>
        <v>2675.4201680672272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540.43487394957992</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44001</v>
      </c>
      <c r="C27" s="840">
        <v>9880</v>
      </c>
      <c r="D27" s="657" t="s">
        <v>914</v>
      </c>
      <c r="E27" s="656" t="s">
        <v>915</v>
      </c>
      <c r="F27" s="656" t="s">
        <v>916</v>
      </c>
      <c r="G27" s="656" t="s">
        <v>917</v>
      </c>
      <c r="H27" s="656" t="s">
        <v>918</v>
      </c>
      <c r="I27" s="656" t="s">
        <v>915</v>
      </c>
      <c r="J27" s="839">
        <v>41128</v>
      </c>
      <c r="K27" s="839">
        <v>41130</v>
      </c>
      <c r="L27" s="656" t="s">
        <v>919</v>
      </c>
      <c r="M27" s="656">
        <v>2830</v>
      </c>
      <c r="N27" s="656">
        <v>1591.875</v>
      </c>
      <c r="O27" s="656">
        <v>2274.1071428571431</v>
      </c>
      <c r="P27" s="656">
        <v>4548.2142857142862</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2830</v>
      </c>
      <c r="N57" s="614">
        <f>SUM(N27:N56)</f>
        <v>1591.875</v>
      </c>
      <c r="O57" s="614">
        <f t="shared" ref="O57:W57" si="2">SUM(O27:O56)</f>
        <v>2274.1071428571431</v>
      </c>
      <c r="P57" s="614">
        <f t="shared" si="2"/>
        <v>4548.2142857142862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2830</v>
      </c>
      <c r="N60" s="619">
        <f t="shared" ref="N60:W60" si="4">SUMIF($Z$27:$Z$56,"landbouw",N27:N56)</f>
        <v>1591.875</v>
      </c>
      <c r="O60" s="619">
        <f t="shared" si="4"/>
        <v>2274.1071428571431</v>
      </c>
      <c r="P60" s="619">
        <f t="shared" si="4"/>
        <v>4548.2142857142862</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1872.794117647059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2675.4201680672272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31512.175192236373</v>
      </c>
      <c r="D10" s="703">
        <f ca="1">tertiair!C16</f>
        <v>0</v>
      </c>
      <c r="E10" s="703">
        <f ca="1">tertiair!D16</f>
        <v>22042.349402560561</v>
      </c>
      <c r="F10" s="703">
        <f>tertiair!E16</f>
        <v>279.3978312489217</v>
      </c>
      <c r="G10" s="703">
        <f ca="1">tertiair!F16</f>
        <v>5989.1636025934504</v>
      </c>
      <c r="H10" s="703">
        <f>tertiair!G16</f>
        <v>0</v>
      </c>
      <c r="I10" s="703">
        <f>tertiair!H16</f>
        <v>0</v>
      </c>
      <c r="J10" s="703">
        <f>tertiair!I16</f>
        <v>0</v>
      </c>
      <c r="K10" s="703">
        <f>tertiair!J16</f>
        <v>0</v>
      </c>
      <c r="L10" s="703">
        <f>tertiair!K16</f>
        <v>0</v>
      </c>
      <c r="M10" s="703">
        <f ca="1">tertiair!L16</f>
        <v>0</v>
      </c>
      <c r="N10" s="703">
        <f>tertiair!M16</f>
        <v>0</v>
      </c>
      <c r="O10" s="703">
        <f ca="1">tertiair!N16</f>
        <v>2619.6072845927156</v>
      </c>
      <c r="P10" s="703">
        <f>tertiair!O16</f>
        <v>7.8166666666666664</v>
      </c>
      <c r="Q10" s="704">
        <f>tertiair!P16</f>
        <v>0</v>
      </c>
      <c r="R10" s="706">
        <f ca="1">SUM(C10:Q10)</f>
        <v>62450.509979898692</v>
      </c>
      <c r="S10" s="68"/>
    </row>
    <row r="11" spans="1:19" s="458" customFormat="1">
      <c r="A11" s="859" t="s">
        <v>225</v>
      </c>
      <c r="B11" s="864"/>
      <c r="C11" s="703">
        <f>huishoudens!B8</f>
        <v>42339.968491834617</v>
      </c>
      <c r="D11" s="703">
        <f>huishoudens!C8</f>
        <v>0</v>
      </c>
      <c r="E11" s="703">
        <f>huishoudens!D8</f>
        <v>50209.238697010456</v>
      </c>
      <c r="F11" s="703">
        <f>huishoudens!E8</f>
        <v>9830.8297077435182</v>
      </c>
      <c r="G11" s="703">
        <f>huishoudens!F8</f>
        <v>33279.470923899156</v>
      </c>
      <c r="H11" s="703">
        <f>huishoudens!G8</f>
        <v>0</v>
      </c>
      <c r="I11" s="703">
        <f>huishoudens!H8</f>
        <v>0</v>
      </c>
      <c r="J11" s="703">
        <f>huishoudens!I8</f>
        <v>0</v>
      </c>
      <c r="K11" s="703">
        <f>huishoudens!J8</f>
        <v>2464.6031699599375</v>
      </c>
      <c r="L11" s="703">
        <f>huishoudens!K8</f>
        <v>0</v>
      </c>
      <c r="M11" s="703">
        <f>huishoudens!L8</f>
        <v>0</v>
      </c>
      <c r="N11" s="703">
        <f>huishoudens!M8</f>
        <v>0</v>
      </c>
      <c r="O11" s="703">
        <f>huishoudens!N8</f>
        <v>21103.651337204421</v>
      </c>
      <c r="P11" s="703">
        <f>huishoudens!O8</f>
        <v>200.10666666666668</v>
      </c>
      <c r="Q11" s="704">
        <f>huishoudens!P8</f>
        <v>724.5333333333333</v>
      </c>
      <c r="R11" s="706">
        <f>SUM(C11:Q11)</f>
        <v>160152.40232765209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71820.441168852994</v>
      </c>
      <c r="D13" s="703">
        <f>industrie!C18</f>
        <v>0</v>
      </c>
      <c r="E13" s="703">
        <f>industrie!D18</f>
        <v>199209.52722953123</v>
      </c>
      <c r="F13" s="703">
        <f>industrie!E18</f>
        <v>788.66333987459598</v>
      </c>
      <c r="G13" s="703">
        <f>industrie!F18</f>
        <v>18166.631842286199</v>
      </c>
      <c r="H13" s="703">
        <f>industrie!G18</f>
        <v>0</v>
      </c>
      <c r="I13" s="703">
        <f>industrie!H18</f>
        <v>0</v>
      </c>
      <c r="J13" s="703">
        <f>industrie!I18</f>
        <v>0</v>
      </c>
      <c r="K13" s="703">
        <f>industrie!J18</f>
        <v>292.51729468537224</v>
      </c>
      <c r="L13" s="703">
        <f>industrie!K18</f>
        <v>0</v>
      </c>
      <c r="M13" s="703">
        <f>industrie!L18</f>
        <v>0</v>
      </c>
      <c r="N13" s="703">
        <f>industrie!M18</f>
        <v>0</v>
      </c>
      <c r="O13" s="703">
        <f>industrie!N18</f>
        <v>4491.9708010278628</v>
      </c>
      <c r="P13" s="703">
        <f>industrie!O18</f>
        <v>0</v>
      </c>
      <c r="Q13" s="704">
        <f>industrie!P18</f>
        <v>0</v>
      </c>
      <c r="R13" s="706">
        <f>SUM(C13:Q13)</f>
        <v>294769.75167625822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145672.58485292399</v>
      </c>
      <c r="D15" s="708">
        <f t="shared" ref="D15:Q15" ca="1" si="0">SUM(D9:D14)</f>
        <v>0</v>
      </c>
      <c r="E15" s="708">
        <f t="shared" ca="1" si="0"/>
        <v>271461.11532910226</v>
      </c>
      <c r="F15" s="708">
        <f t="shared" si="0"/>
        <v>10898.890878867036</v>
      </c>
      <c r="G15" s="708">
        <f t="shared" ca="1" si="0"/>
        <v>57435.266368778801</v>
      </c>
      <c r="H15" s="708">
        <f t="shared" si="0"/>
        <v>0</v>
      </c>
      <c r="I15" s="708">
        <f t="shared" si="0"/>
        <v>0</v>
      </c>
      <c r="J15" s="708">
        <f t="shared" si="0"/>
        <v>0</v>
      </c>
      <c r="K15" s="708">
        <f t="shared" si="0"/>
        <v>2757.1204646453098</v>
      </c>
      <c r="L15" s="708">
        <f t="shared" si="0"/>
        <v>0</v>
      </c>
      <c r="M15" s="708">
        <f t="shared" ca="1" si="0"/>
        <v>0</v>
      </c>
      <c r="N15" s="708">
        <f t="shared" si="0"/>
        <v>0</v>
      </c>
      <c r="O15" s="708">
        <f t="shared" ca="1" si="0"/>
        <v>28215.229422824999</v>
      </c>
      <c r="P15" s="708">
        <f t="shared" si="0"/>
        <v>207.92333333333335</v>
      </c>
      <c r="Q15" s="709">
        <f t="shared" si="0"/>
        <v>724.5333333333333</v>
      </c>
      <c r="R15" s="710">
        <f ca="1">SUM(R9:R14)</f>
        <v>517372.66398380901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701.38936008052133</v>
      </c>
      <c r="I18" s="703">
        <f>transport!H54</f>
        <v>0</v>
      </c>
      <c r="J18" s="703">
        <f>transport!I54</f>
        <v>0</v>
      </c>
      <c r="K18" s="703">
        <f>transport!J54</f>
        <v>0</v>
      </c>
      <c r="L18" s="703">
        <f>transport!K54</f>
        <v>0</v>
      </c>
      <c r="M18" s="703">
        <f>transport!L54</f>
        <v>0</v>
      </c>
      <c r="N18" s="703">
        <f>transport!M54</f>
        <v>30.799163815257646</v>
      </c>
      <c r="O18" s="703">
        <f>transport!N54</f>
        <v>0</v>
      </c>
      <c r="P18" s="703">
        <f>transport!O54</f>
        <v>0</v>
      </c>
      <c r="Q18" s="704">
        <f>transport!P54</f>
        <v>0</v>
      </c>
      <c r="R18" s="706">
        <f>SUM(C18:Q18)</f>
        <v>732.18852389577899</v>
      </c>
      <c r="S18" s="68"/>
    </row>
    <row r="19" spans="1:19" s="458" customFormat="1" ht="15" thickBot="1">
      <c r="A19" s="859" t="s">
        <v>307</v>
      </c>
      <c r="B19" s="864"/>
      <c r="C19" s="712">
        <f>transport!B14</f>
        <v>9.2953365227727129</v>
      </c>
      <c r="D19" s="712">
        <f>transport!C14</f>
        <v>0</v>
      </c>
      <c r="E19" s="712">
        <f>transport!D14</f>
        <v>24.609949331534455</v>
      </c>
      <c r="F19" s="712">
        <f>transport!E14</f>
        <v>1707.9591200223147</v>
      </c>
      <c r="G19" s="712">
        <f>transport!F14</f>
        <v>0</v>
      </c>
      <c r="H19" s="712">
        <f>transport!G14</f>
        <v>401088.80344345688</v>
      </c>
      <c r="I19" s="712">
        <f>transport!H14</f>
        <v>57300.074444682446</v>
      </c>
      <c r="J19" s="712">
        <f>transport!I14</f>
        <v>0</v>
      </c>
      <c r="K19" s="712">
        <f>transport!J14</f>
        <v>0</v>
      </c>
      <c r="L19" s="712">
        <f>transport!K14</f>
        <v>0</v>
      </c>
      <c r="M19" s="712">
        <f>transport!L14</f>
        <v>0</v>
      </c>
      <c r="N19" s="712">
        <f>transport!M14</f>
        <v>20481.776403527907</v>
      </c>
      <c r="O19" s="712">
        <f>transport!N14</f>
        <v>0</v>
      </c>
      <c r="P19" s="712">
        <f>transport!O14</f>
        <v>0</v>
      </c>
      <c r="Q19" s="713">
        <f>transport!P14</f>
        <v>0</v>
      </c>
      <c r="R19" s="714">
        <f>SUM(C19:Q19)</f>
        <v>480612.51869754383</v>
      </c>
      <c r="S19" s="68"/>
    </row>
    <row r="20" spans="1:19" s="458" customFormat="1" ht="15.75" thickBot="1">
      <c r="A20" s="715" t="s">
        <v>230</v>
      </c>
      <c r="B20" s="867"/>
      <c r="C20" s="862">
        <f>SUM(C17:C19)</f>
        <v>9.2953365227727129</v>
      </c>
      <c r="D20" s="716">
        <f t="shared" ref="D20:R20" si="1">SUM(D17:D19)</f>
        <v>0</v>
      </c>
      <c r="E20" s="716">
        <f t="shared" si="1"/>
        <v>24.609949331534455</v>
      </c>
      <c r="F20" s="716">
        <f t="shared" si="1"/>
        <v>1707.9591200223147</v>
      </c>
      <c r="G20" s="716">
        <f t="shared" si="1"/>
        <v>0</v>
      </c>
      <c r="H20" s="716">
        <f t="shared" si="1"/>
        <v>401790.19280353741</v>
      </c>
      <c r="I20" s="716">
        <f t="shared" si="1"/>
        <v>57300.074444682446</v>
      </c>
      <c r="J20" s="716">
        <f t="shared" si="1"/>
        <v>0</v>
      </c>
      <c r="K20" s="716">
        <f t="shared" si="1"/>
        <v>0</v>
      </c>
      <c r="L20" s="716">
        <f t="shared" si="1"/>
        <v>0</v>
      </c>
      <c r="M20" s="716">
        <f t="shared" si="1"/>
        <v>0</v>
      </c>
      <c r="N20" s="716">
        <f t="shared" si="1"/>
        <v>20512.575567343163</v>
      </c>
      <c r="O20" s="716">
        <f t="shared" si="1"/>
        <v>0</v>
      </c>
      <c r="P20" s="716">
        <f t="shared" si="1"/>
        <v>0</v>
      </c>
      <c r="Q20" s="717">
        <f t="shared" si="1"/>
        <v>0</v>
      </c>
      <c r="R20" s="718">
        <f t="shared" si="1"/>
        <v>481344.70722143963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6416.3548136290201</v>
      </c>
      <c r="D22" s="712">
        <f>+landbouw!C8</f>
        <v>2274.1071428571431</v>
      </c>
      <c r="E22" s="712">
        <f>+landbouw!D8</f>
        <v>9063.0295557124482</v>
      </c>
      <c r="F22" s="712">
        <f>+landbouw!E8</f>
        <v>60.446361443134244</v>
      </c>
      <c r="G22" s="712">
        <f>+landbouw!F8</f>
        <v>20938.695158023176</v>
      </c>
      <c r="H22" s="712">
        <f>+landbouw!G8</f>
        <v>0</v>
      </c>
      <c r="I22" s="712">
        <f>+landbouw!H8</f>
        <v>0</v>
      </c>
      <c r="J22" s="712">
        <f>+landbouw!I8</f>
        <v>0</v>
      </c>
      <c r="K22" s="712">
        <f>+landbouw!J8</f>
        <v>793.73429958972815</v>
      </c>
      <c r="L22" s="712">
        <f>+landbouw!K8</f>
        <v>0</v>
      </c>
      <c r="M22" s="712">
        <f>+landbouw!L8</f>
        <v>0</v>
      </c>
      <c r="N22" s="712">
        <f>+landbouw!M8</f>
        <v>0</v>
      </c>
      <c r="O22" s="712">
        <f>+landbouw!N8</f>
        <v>0</v>
      </c>
      <c r="P22" s="712">
        <f>+landbouw!O8</f>
        <v>0</v>
      </c>
      <c r="Q22" s="713">
        <f>+landbouw!P8</f>
        <v>0</v>
      </c>
      <c r="R22" s="714">
        <f>SUM(C22:Q22)</f>
        <v>39546.367331254653</v>
      </c>
      <c r="S22" s="68"/>
    </row>
    <row r="23" spans="1:19" s="458" customFormat="1" ht="17.25" thickTop="1" thickBot="1">
      <c r="A23" s="719" t="s">
        <v>116</v>
      </c>
      <c r="B23" s="853"/>
      <c r="C23" s="720">
        <f ca="1">C20+C15+C22</f>
        <v>152098.2350030758</v>
      </c>
      <c r="D23" s="720">
        <f t="shared" ref="D23:Q23" ca="1" si="2">D20+D15+D22</f>
        <v>2274.1071428571431</v>
      </c>
      <c r="E23" s="720">
        <f t="shared" ca="1" si="2"/>
        <v>280548.75483414624</v>
      </c>
      <c r="F23" s="720">
        <f t="shared" si="2"/>
        <v>12667.296360332484</v>
      </c>
      <c r="G23" s="720">
        <f t="shared" ca="1" si="2"/>
        <v>78373.961526801984</v>
      </c>
      <c r="H23" s="720">
        <f t="shared" si="2"/>
        <v>401790.19280353741</v>
      </c>
      <c r="I23" s="720">
        <f t="shared" si="2"/>
        <v>57300.074444682446</v>
      </c>
      <c r="J23" s="720">
        <f t="shared" si="2"/>
        <v>0</v>
      </c>
      <c r="K23" s="720">
        <f t="shared" si="2"/>
        <v>3550.8547642350377</v>
      </c>
      <c r="L23" s="720">
        <f t="shared" si="2"/>
        <v>0</v>
      </c>
      <c r="M23" s="720">
        <f t="shared" ca="1" si="2"/>
        <v>0</v>
      </c>
      <c r="N23" s="720">
        <f t="shared" si="2"/>
        <v>20512.575567343163</v>
      </c>
      <c r="O23" s="720">
        <f t="shared" ca="1" si="2"/>
        <v>28215.229422824999</v>
      </c>
      <c r="P23" s="720">
        <f t="shared" si="2"/>
        <v>207.92333333333335</v>
      </c>
      <c r="Q23" s="721">
        <f t="shared" si="2"/>
        <v>724.5333333333333</v>
      </c>
      <c r="R23" s="722">
        <f ca="1">R20+R15+R22</f>
        <v>1038263.7385365033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6574.7557073220296</v>
      </c>
      <c r="D36" s="703">
        <f ca="1">tertiair!C20</f>
        <v>0</v>
      </c>
      <c r="E36" s="703">
        <f ca="1">tertiair!D20</f>
        <v>4452.5545793172341</v>
      </c>
      <c r="F36" s="703">
        <f>tertiair!E20</f>
        <v>63.42330769350523</v>
      </c>
      <c r="G36" s="703">
        <f ca="1">tertiair!F20</f>
        <v>1599.1066818924514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12689.840276225221</v>
      </c>
    </row>
    <row r="37" spans="1:18">
      <c r="A37" s="874" t="s">
        <v>225</v>
      </c>
      <c r="B37" s="881"/>
      <c r="C37" s="703">
        <f ca="1">huishoudens!B12</f>
        <v>8833.8855630032031</v>
      </c>
      <c r="D37" s="703">
        <f ca="1">huishoudens!C12</f>
        <v>0</v>
      </c>
      <c r="E37" s="703">
        <f>huishoudens!D12</f>
        <v>10142.266216796113</v>
      </c>
      <c r="F37" s="703">
        <f>huishoudens!E12</f>
        <v>2231.5983436577785</v>
      </c>
      <c r="G37" s="703">
        <f>huishoudens!F12</f>
        <v>8885.6187366810755</v>
      </c>
      <c r="H37" s="703">
        <f>huishoudens!G12</f>
        <v>0</v>
      </c>
      <c r="I37" s="703">
        <f>huishoudens!H12</f>
        <v>0</v>
      </c>
      <c r="J37" s="703">
        <f>huishoudens!I12</f>
        <v>0</v>
      </c>
      <c r="K37" s="703">
        <f>huishoudens!J12</f>
        <v>872.46952216581781</v>
      </c>
      <c r="L37" s="703">
        <f>huishoudens!K12</f>
        <v>0</v>
      </c>
      <c r="M37" s="703">
        <f>huishoudens!L12</f>
        <v>0</v>
      </c>
      <c r="N37" s="703">
        <f>huishoudens!M12</f>
        <v>0</v>
      </c>
      <c r="O37" s="703">
        <f>huishoudens!N12</f>
        <v>0</v>
      </c>
      <c r="P37" s="703">
        <f>huishoudens!O12</f>
        <v>0</v>
      </c>
      <c r="Q37" s="813">
        <f>huishoudens!P12</f>
        <v>0</v>
      </c>
      <c r="R37" s="906">
        <f ca="1">SUM(C37:Q37)</f>
        <v>30965.838382303984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14984.743280864923</v>
      </c>
      <c r="D39" s="703">
        <f ca="1">industrie!C22</f>
        <v>0</v>
      </c>
      <c r="E39" s="703">
        <f>industrie!D22</f>
        <v>40240.324500365314</v>
      </c>
      <c r="F39" s="703">
        <f>industrie!E22</f>
        <v>179.0265781515333</v>
      </c>
      <c r="G39" s="703">
        <f>industrie!F22</f>
        <v>4850.490701890415</v>
      </c>
      <c r="H39" s="703">
        <f>industrie!G22</f>
        <v>0</v>
      </c>
      <c r="I39" s="703">
        <f>industrie!H22</f>
        <v>0</v>
      </c>
      <c r="J39" s="703">
        <f>industrie!I22</f>
        <v>0</v>
      </c>
      <c r="K39" s="703">
        <f>industrie!J22</f>
        <v>103.55112231862176</v>
      </c>
      <c r="L39" s="703">
        <f>industrie!K22</f>
        <v>0</v>
      </c>
      <c r="M39" s="703">
        <f>industrie!L22</f>
        <v>0</v>
      </c>
      <c r="N39" s="703">
        <f>industrie!M22</f>
        <v>0</v>
      </c>
      <c r="O39" s="703">
        <f>industrie!N22</f>
        <v>0</v>
      </c>
      <c r="P39" s="703">
        <f>industrie!O22</f>
        <v>0</v>
      </c>
      <c r="Q39" s="813">
        <f>industrie!P22</f>
        <v>0</v>
      </c>
      <c r="R39" s="907">
        <f ca="1">SUM(C39:Q39)</f>
        <v>60358.136183590803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30393.384551190153</v>
      </c>
      <c r="D41" s="748">
        <f t="shared" ref="D41:R41" ca="1" si="4">SUM(D35:D40)</f>
        <v>0</v>
      </c>
      <c r="E41" s="748">
        <f t="shared" ca="1" si="4"/>
        <v>54835.145296478659</v>
      </c>
      <c r="F41" s="748">
        <f t="shared" si="4"/>
        <v>2474.0482295028169</v>
      </c>
      <c r="G41" s="748">
        <f t="shared" ca="1" si="4"/>
        <v>15335.216120463941</v>
      </c>
      <c r="H41" s="748">
        <f t="shared" si="4"/>
        <v>0</v>
      </c>
      <c r="I41" s="748">
        <f t="shared" si="4"/>
        <v>0</v>
      </c>
      <c r="J41" s="748">
        <f t="shared" si="4"/>
        <v>0</v>
      </c>
      <c r="K41" s="748">
        <f t="shared" si="4"/>
        <v>976.02064448443957</v>
      </c>
      <c r="L41" s="748">
        <f t="shared" si="4"/>
        <v>0</v>
      </c>
      <c r="M41" s="748">
        <f t="shared" ca="1" si="4"/>
        <v>0</v>
      </c>
      <c r="N41" s="748">
        <f t="shared" si="4"/>
        <v>0</v>
      </c>
      <c r="O41" s="748">
        <f t="shared" ca="1" si="4"/>
        <v>0</v>
      </c>
      <c r="P41" s="748">
        <f t="shared" si="4"/>
        <v>0</v>
      </c>
      <c r="Q41" s="749">
        <f t="shared" si="4"/>
        <v>0</v>
      </c>
      <c r="R41" s="750">
        <f t="shared" ca="1" si="4"/>
        <v>104013.81484212002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187.27095914149922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187.27095914149922</v>
      </c>
    </row>
    <row r="45" spans="1:18" ht="15" thickBot="1">
      <c r="A45" s="877" t="s">
        <v>307</v>
      </c>
      <c r="B45" s="887"/>
      <c r="C45" s="712">
        <f ca="1">transport!B18</f>
        <v>1.9393953759699694</v>
      </c>
      <c r="D45" s="712">
        <f>transport!C18</f>
        <v>0</v>
      </c>
      <c r="E45" s="712">
        <f>transport!D18</f>
        <v>4.9712097649699603</v>
      </c>
      <c r="F45" s="712">
        <f>transport!E18</f>
        <v>387.70672024506547</v>
      </c>
      <c r="G45" s="712">
        <f>transport!F18</f>
        <v>0</v>
      </c>
      <c r="H45" s="712">
        <f>transport!G18</f>
        <v>107090.710519403</v>
      </c>
      <c r="I45" s="712">
        <f>transport!H18</f>
        <v>14267.71853672593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121753.04638151493</v>
      </c>
    </row>
    <row r="46" spans="1:18" ht="15.75" thickBot="1">
      <c r="A46" s="875" t="s">
        <v>230</v>
      </c>
      <c r="B46" s="888"/>
      <c r="C46" s="748">
        <f t="shared" ref="C46:R46" ca="1" si="5">SUM(C43:C45)</f>
        <v>1.9393953759699694</v>
      </c>
      <c r="D46" s="748">
        <f t="shared" ca="1" si="5"/>
        <v>0</v>
      </c>
      <c r="E46" s="748">
        <f t="shared" si="5"/>
        <v>4.9712097649699603</v>
      </c>
      <c r="F46" s="748">
        <f t="shared" si="5"/>
        <v>387.70672024506547</v>
      </c>
      <c r="G46" s="748">
        <f t="shared" si="5"/>
        <v>0</v>
      </c>
      <c r="H46" s="748">
        <f t="shared" si="5"/>
        <v>107277.98147854451</v>
      </c>
      <c r="I46" s="748">
        <f t="shared" si="5"/>
        <v>14267.71853672593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121940.31734065643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1338.7195639069655</v>
      </c>
      <c r="D48" s="703">
        <f ca="1">+landbouw!C12</f>
        <v>540.43487394957992</v>
      </c>
      <c r="E48" s="703">
        <f>+landbouw!D12</f>
        <v>1830.7319702539146</v>
      </c>
      <c r="F48" s="703">
        <f>+landbouw!E12</f>
        <v>13.721324047591473</v>
      </c>
      <c r="G48" s="703">
        <f>+landbouw!F12</f>
        <v>5590.6316071921883</v>
      </c>
      <c r="H48" s="703">
        <f>+landbouw!G12</f>
        <v>0</v>
      </c>
      <c r="I48" s="703">
        <f>+landbouw!H12</f>
        <v>0</v>
      </c>
      <c r="J48" s="703">
        <f>+landbouw!I12</f>
        <v>0</v>
      </c>
      <c r="K48" s="703">
        <f>+landbouw!J12</f>
        <v>280.98194205476375</v>
      </c>
      <c r="L48" s="703">
        <f>+landbouw!K12</f>
        <v>0</v>
      </c>
      <c r="M48" s="703">
        <f>+landbouw!L12</f>
        <v>0</v>
      </c>
      <c r="N48" s="703">
        <f>+landbouw!M12</f>
        <v>0</v>
      </c>
      <c r="O48" s="703">
        <f>+landbouw!N12</f>
        <v>0</v>
      </c>
      <c r="P48" s="703">
        <f>+landbouw!O12</f>
        <v>0</v>
      </c>
      <c r="Q48" s="704">
        <f>+landbouw!P12</f>
        <v>0</v>
      </c>
      <c r="R48" s="746">
        <f ca="1">SUM(C48:Q48)</f>
        <v>9595.2212814050035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31734.043510473086</v>
      </c>
      <c r="D53" s="758">
        <f t="shared" ref="D53:Q53" ca="1" si="6">D41+D46+D48</f>
        <v>540.43487394957992</v>
      </c>
      <c r="E53" s="758">
        <f t="shared" ca="1" si="6"/>
        <v>56670.848476497544</v>
      </c>
      <c r="F53" s="758">
        <f t="shared" si="6"/>
        <v>2875.4762737954738</v>
      </c>
      <c r="G53" s="758">
        <f t="shared" ca="1" si="6"/>
        <v>20925.847727656132</v>
      </c>
      <c r="H53" s="758">
        <f t="shared" si="6"/>
        <v>107277.98147854451</v>
      </c>
      <c r="I53" s="758">
        <f t="shared" si="6"/>
        <v>14267.71853672593</v>
      </c>
      <c r="J53" s="758">
        <f t="shared" si="6"/>
        <v>0</v>
      </c>
      <c r="K53" s="758">
        <f t="shared" si="6"/>
        <v>1257.0025865392033</v>
      </c>
      <c r="L53" s="758">
        <f t="shared" si="6"/>
        <v>0</v>
      </c>
      <c r="M53" s="758">
        <f t="shared" ca="1" si="6"/>
        <v>0</v>
      </c>
      <c r="N53" s="758">
        <f t="shared" si="6"/>
        <v>0</v>
      </c>
      <c r="O53" s="758">
        <f t="shared" ca="1" si="6"/>
        <v>0</v>
      </c>
      <c r="P53" s="758">
        <f>P41+P46+P48</f>
        <v>0</v>
      </c>
      <c r="Q53" s="759">
        <f t="shared" si="6"/>
        <v>0</v>
      </c>
      <c r="R53" s="760">
        <f ca="1">R41+R46+R48</f>
        <v>235549.35346418148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0.2086417604374656</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8625.1876107301578</v>
      </c>
      <c r="C66" s="780">
        <f>'lokale energieproductie'!B6</f>
        <v>8625.1876107301578</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1591.875</v>
      </c>
      <c r="C67" s="779">
        <f>B67*IFERROR(SUM(J67:L67)/SUM(D67:M67),0)</f>
        <v>0</v>
      </c>
      <c r="D67" s="811">
        <f>'lokale energieproductie'!C7</f>
        <v>1872.794117647059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378.30441176470595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10217.062610730158</v>
      </c>
      <c r="C69" s="788">
        <f>SUM(C64:C68)</f>
        <v>8625.1876107301578</v>
      </c>
      <c r="D69" s="789">
        <f t="shared" ref="D69:M69" si="8">SUM(D67:D68)</f>
        <v>1872.794117647059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378.30441176470595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2274.1071428571431</v>
      </c>
      <c r="C78" s="802">
        <f>B78*IFERROR(SUM(I78:L78)/SUM(D78:M78),0)</f>
        <v>0</v>
      </c>
      <c r="D78" s="817">
        <f>'lokale energieproductie'!C16</f>
        <v>2675.4201680672272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540.43487394957992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2274.1071428571431</v>
      </c>
      <c r="C81" s="788">
        <f>SUM(C78:C80)</f>
        <v>0</v>
      </c>
      <c r="D81" s="788">
        <f t="shared" ref="D81:P81" si="9">SUM(D78:D80)</f>
        <v>2675.4201680672272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540.43487394957992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42339.968491834617</v>
      </c>
      <c r="C4" s="462">
        <f>huishoudens!C8</f>
        <v>0</v>
      </c>
      <c r="D4" s="462">
        <f>huishoudens!D8</f>
        <v>50209.238697010456</v>
      </c>
      <c r="E4" s="462">
        <f>huishoudens!E8</f>
        <v>9830.8297077435182</v>
      </c>
      <c r="F4" s="462">
        <f>huishoudens!F8</f>
        <v>33279.470923899156</v>
      </c>
      <c r="G4" s="462">
        <f>huishoudens!G8</f>
        <v>0</v>
      </c>
      <c r="H4" s="462">
        <f>huishoudens!H8</f>
        <v>0</v>
      </c>
      <c r="I4" s="462">
        <f>huishoudens!I8</f>
        <v>0</v>
      </c>
      <c r="J4" s="462">
        <f>huishoudens!J8</f>
        <v>2464.6031699599375</v>
      </c>
      <c r="K4" s="462">
        <f>huishoudens!K8</f>
        <v>0</v>
      </c>
      <c r="L4" s="462">
        <f>huishoudens!L8</f>
        <v>0</v>
      </c>
      <c r="M4" s="462">
        <f>huishoudens!M8</f>
        <v>0</v>
      </c>
      <c r="N4" s="462">
        <f>huishoudens!N8</f>
        <v>21103.651337204421</v>
      </c>
      <c r="O4" s="462">
        <f>huishoudens!O8</f>
        <v>200.10666666666668</v>
      </c>
      <c r="P4" s="463">
        <f>huishoudens!P8</f>
        <v>724.5333333333333</v>
      </c>
      <c r="Q4" s="464">
        <f>SUM(B4:P4)</f>
        <v>160152.40232765209</v>
      </c>
    </row>
    <row r="5" spans="1:17">
      <c r="A5" s="461" t="s">
        <v>156</v>
      </c>
      <c r="B5" s="462">
        <f ca="1">tertiair!B16</f>
        <v>29452.519192236374</v>
      </c>
      <c r="C5" s="462">
        <f ca="1">tertiair!C16</f>
        <v>0</v>
      </c>
      <c r="D5" s="462">
        <f ca="1">tertiair!D16</f>
        <v>22042.349402560561</v>
      </c>
      <c r="E5" s="462">
        <f>tertiair!E16</f>
        <v>279.3978312489217</v>
      </c>
      <c r="F5" s="462">
        <f ca="1">tertiair!F16</f>
        <v>5989.1636025934504</v>
      </c>
      <c r="G5" s="462">
        <f>tertiair!G16</f>
        <v>0</v>
      </c>
      <c r="H5" s="462">
        <f>tertiair!H16</f>
        <v>0</v>
      </c>
      <c r="I5" s="462">
        <f>tertiair!I16</f>
        <v>0</v>
      </c>
      <c r="J5" s="462">
        <f>tertiair!J16</f>
        <v>0</v>
      </c>
      <c r="K5" s="462">
        <f>tertiair!K16</f>
        <v>0</v>
      </c>
      <c r="L5" s="462">
        <f ca="1">tertiair!L16</f>
        <v>0</v>
      </c>
      <c r="M5" s="462">
        <f>tertiair!M16</f>
        <v>0</v>
      </c>
      <c r="N5" s="462">
        <f ca="1">tertiair!N16</f>
        <v>2619.6072845927156</v>
      </c>
      <c r="O5" s="462">
        <f>tertiair!O16</f>
        <v>7.8166666666666664</v>
      </c>
      <c r="P5" s="463">
        <f>tertiair!P16</f>
        <v>0</v>
      </c>
      <c r="Q5" s="461">
        <f t="shared" ref="Q5:Q13" ca="1" si="0">SUM(B5:P5)</f>
        <v>60390.853979898689</v>
      </c>
    </row>
    <row r="6" spans="1:17">
      <c r="A6" s="461" t="s">
        <v>194</v>
      </c>
      <c r="B6" s="462">
        <f>'openbare verlichting'!B8</f>
        <v>2059.6559999999999</v>
      </c>
      <c r="C6" s="462"/>
      <c r="D6" s="462"/>
      <c r="E6" s="462"/>
      <c r="F6" s="462"/>
      <c r="G6" s="462"/>
      <c r="H6" s="462"/>
      <c r="I6" s="462"/>
      <c r="J6" s="462"/>
      <c r="K6" s="462"/>
      <c r="L6" s="462"/>
      <c r="M6" s="462"/>
      <c r="N6" s="462"/>
      <c r="O6" s="462"/>
      <c r="P6" s="463"/>
      <c r="Q6" s="461">
        <f t="shared" si="0"/>
        <v>2059.6559999999999</v>
      </c>
    </row>
    <row r="7" spans="1:17">
      <c r="A7" s="461" t="s">
        <v>112</v>
      </c>
      <c r="B7" s="462">
        <f>landbouw!B8</f>
        <v>6416.3548136290201</v>
      </c>
      <c r="C7" s="462">
        <f>landbouw!C8</f>
        <v>2274.1071428571431</v>
      </c>
      <c r="D7" s="462">
        <f>landbouw!D8</f>
        <v>9063.0295557124482</v>
      </c>
      <c r="E7" s="462">
        <f>landbouw!E8</f>
        <v>60.446361443134244</v>
      </c>
      <c r="F7" s="462">
        <f>landbouw!F8</f>
        <v>20938.695158023176</v>
      </c>
      <c r="G7" s="462">
        <f>landbouw!G8</f>
        <v>0</v>
      </c>
      <c r="H7" s="462">
        <f>landbouw!H8</f>
        <v>0</v>
      </c>
      <c r="I7" s="462">
        <f>landbouw!I8</f>
        <v>0</v>
      </c>
      <c r="J7" s="462">
        <f>landbouw!J8</f>
        <v>793.73429958972815</v>
      </c>
      <c r="K7" s="462">
        <f>landbouw!K8</f>
        <v>0</v>
      </c>
      <c r="L7" s="462">
        <f>landbouw!L8</f>
        <v>0</v>
      </c>
      <c r="M7" s="462">
        <f>landbouw!M8</f>
        <v>0</v>
      </c>
      <c r="N7" s="462">
        <f>landbouw!N8</f>
        <v>0</v>
      </c>
      <c r="O7" s="462">
        <f>landbouw!O8</f>
        <v>0</v>
      </c>
      <c r="P7" s="463">
        <f>landbouw!P8</f>
        <v>0</v>
      </c>
      <c r="Q7" s="461">
        <f t="shared" si="0"/>
        <v>39546.367331254653</v>
      </c>
    </row>
    <row r="8" spans="1:17">
      <c r="A8" s="461" t="s">
        <v>685</v>
      </c>
      <c r="B8" s="462">
        <f>industrie!B18</f>
        <v>71820.441168852994</v>
      </c>
      <c r="C8" s="462">
        <f>industrie!C18</f>
        <v>0</v>
      </c>
      <c r="D8" s="462">
        <f>industrie!D18</f>
        <v>199209.52722953123</v>
      </c>
      <c r="E8" s="462">
        <f>industrie!E18</f>
        <v>788.66333987459598</v>
      </c>
      <c r="F8" s="462">
        <f>industrie!F18</f>
        <v>18166.631842286199</v>
      </c>
      <c r="G8" s="462">
        <f>industrie!G18</f>
        <v>0</v>
      </c>
      <c r="H8" s="462">
        <f>industrie!H18</f>
        <v>0</v>
      </c>
      <c r="I8" s="462">
        <f>industrie!I18</f>
        <v>0</v>
      </c>
      <c r="J8" s="462">
        <f>industrie!J18</f>
        <v>292.51729468537224</v>
      </c>
      <c r="K8" s="462">
        <f>industrie!K18</f>
        <v>0</v>
      </c>
      <c r="L8" s="462">
        <f>industrie!L18</f>
        <v>0</v>
      </c>
      <c r="M8" s="462">
        <f>industrie!M18</f>
        <v>0</v>
      </c>
      <c r="N8" s="462">
        <f>industrie!N18</f>
        <v>4491.9708010278628</v>
      </c>
      <c r="O8" s="462">
        <f>industrie!O18</f>
        <v>0</v>
      </c>
      <c r="P8" s="463">
        <f>industrie!P18</f>
        <v>0</v>
      </c>
      <c r="Q8" s="461">
        <f t="shared" si="0"/>
        <v>294769.75167625822</v>
      </c>
    </row>
    <row r="9" spans="1:17" s="467" customFormat="1">
      <c r="A9" s="465" t="s">
        <v>579</v>
      </c>
      <c r="B9" s="466">
        <f>transport!B14</f>
        <v>9.2953365227727129</v>
      </c>
      <c r="C9" s="466"/>
      <c r="D9" s="466">
        <f>transport!D14</f>
        <v>24.609949331534455</v>
      </c>
      <c r="E9" s="466">
        <f>transport!E14</f>
        <v>1707.9591200223147</v>
      </c>
      <c r="F9" s="466"/>
      <c r="G9" s="466">
        <f>transport!G14</f>
        <v>401088.80344345688</v>
      </c>
      <c r="H9" s="466">
        <f>transport!H14</f>
        <v>57300.074444682446</v>
      </c>
      <c r="I9" s="466"/>
      <c r="J9" s="466"/>
      <c r="K9" s="466"/>
      <c r="L9" s="466"/>
      <c r="M9" s="466">
        <f>transport!M14</f>
        <v>20481.776403527907</v>
      </c>
      <c r="N9" s="466"/>
      <c r="O9" s="466"/>
      <c r="P9" s="466"/>
      <c r="Q9" s="465">
        <f>SUM(B9:P9)</f>
        <v>480612.51869754383</v>
      </c>
    </row>
    <row r="10" spans="1:17">
      <c r="A10" s="461" t="s">
        <v>569</v>
      </c>
      <c r="B10" s="462">
        <f>transport!B54</f>
        <v>0</v>
      </c>
      <c r="C10" s="462"/>
      <c r="D10" s="462">
        <f>transport!D54</f>
        <v>0</v>
      </c>
      <c r="E10" s="462"/>
      <c r="F10" s="462"/>
      <c r="G10" s="462">
        <f>transport!G54</f>
        <v>701.38936008052133</v>
      </c>
      <c r="H10" s="462"/>
      <c r="I10" s="462"/>
      <c r="J10" s="462"/>
      <c r="K10" s="462"/>
      <c r="L10" s="462"/>
      <c r="M10" s="462">
        <f>transport!M54</f>
        <v>30.799163815257646</v>
      </c>
      <c r="N10" s="462"/>
      <c r="O10" s="462"/>
      <c r="P10" s="463"/>
      <c r="Q10" s="461">
        <f t="shared" si="0"/>
        <v>732.18852389577899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152098.23500307577</v>
      </c>
      <c r="C14" s="472">
        <f t="shared" ref="C14:Q14" ca="1" si="1">SUM(C4:C13)</f>
        <v>2274.1071428571431</v>
      </c>
      <c r="D14" s="472">
        <f t="shared" ca="1" si="1"/>
        <v>280548.75483414624</v>
      </c>
      <c r="E14" s="472">
        <f t="shared" si="1"/>
        <v>12667.296360332484</v>
      </c>
      <c r="F14" s="472">
        <f t="shared" ca="1" si="1"/>
        <v>78373.961526801984</v>
      </c>
      <c r="G14" s="472">
        <f t="shared" si="1"/>
        <v>401790.19280353741</v>
      </c>
      <c r="H14" s="472">
        <f t="shared" si="1"/>
        <v>57300.074444682446</v>
      </c>
      <c r="I14" s="472">
        <f t="shared" si="1"/>
        <v>0</v>
      </c>
      <c r="J14" s="472">
        <f t="shared" si="1"/>
        <v>3550.8547642350381</v>
      </c>
      <c r="K14" s="472">
        <f t="shared" si="1"/>
        <v>0</v>
      </c>
      <c r="L14" s="472">
        <f t="shared" ca="1" si="1"/>
        <v>0</v>
      </c>
      <c r="M14" s="472">
        <f t="shared" si="1"/>
        <v>20512.575567343163</v>
      </c>
      <c r="N14" s="472">
        <f t="shared" ca="1" si="1"/>
        <v>28215.229422824999</v>
      </c>
      <c r="O14" s="472">
        <f t="shared" si="1"/>
        <v>207.92333333333335</v>
      </c>
      <c r="P14" s="473">
        <f t="shared" si="1"/>
        <v>724.5333333333333</v>
      </c>
      <c r="Q14" s="473">
        <f t="shared" ca="1" si="1"/>
        <v>1038263.7385365032</v>
      </c>
    </row>
    <row r="16" spans="1:17">
      <c r="A16" s="475" t="s">
        <v>574</v>
      </c>
      <c r="B16" s="829">
        <f ca="1">huishoudens!B10</f>
        <v>0.20864176043746566</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8833.8855630032031</v>
      </c>
      <c r="C21" s="462">
        <f t="shared" ref="C21:C28" ca="1" si="3">C4*$C$16</f>
        <v>0</v>
      </c>
      <c r="D21" s="462">
        <f t="shared" ref="D21:D30" si="4">D4*$D$16</f>
        <v>10142.266216796113</v>
      </c>
      <c r="E21" s="462">
        <f t="shared" ref="E21:E30" si="5">E4*$E$16</f>
        <v>2231.5983436577785</v>
      </c>
      <c r="F21" s="462">
        <f t="shared" ref="F21:F28" si="6">F4*$F$16</f>
        <v>8885.6187366810755</v>
      </c>
      <c r="G21" s="462">
        <f t="shared" ref="G21:G30" si="7">G4*$G$16</f>
        <v>0</v>
      </c>
      <c r="H21" s="462">
        <f t="shared" ref="H21:H30" si="8">H4*$H$16</f>
        <v>0</v>
      </c>
      <c r="I21" s="462">
        <f t="shared" ref="I21:I28" si="9">I4*$I$16</f>
        <v>0</v>
      </c>
      <c r="J21" s="462">
        <f t="shared" ref="J21:J28" si="10">J4*$J$16</f>
        <v>872.46952216581781</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30965.838382303984</v>
      </c>
    </row>
    <row r="22" spans="1:17">
      <c r="A22" s="461" t="s">
        <v>156</v>
      </c>
      <c r="B22" s="462">
        <f t="shared" ca="1" si="2"/>
        <v>6145.0254535864406</v>
      </c>
      <c r="C22" s="462">
        <f t="shared" ca="1" si="3"/>
        <v>0</v>
      </c>
      <c r="D22" s="462">
        <f t="shared" ca="1" si="4"/>
        <v>4452.5545793172341</v>
      </c>
      <c r="E22" s="462">
        <f t="shared" si="5"/>
        <v>63.42330769350523</v>
      </c>
      <c r="F22" s="462">
        <f t="shared" ca="1" si="6"/>
        <v>1599.1066818924514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12260.110022489633</v>
      </c>
    </row>
    <row r="23" spans="1:17">
      <c r="A23" s="461" t="s">
        <v>194</v>
      </c>
      <c r="B23" s="462">
        <f t="shared" ca="1" si="2"/>
        <v>429.73025373558875</v>
      </c>
      <c r="C23" s="462"/>
      <c r="D23" s="462"/>
      <c r="E23" s="462"/>
      <c r="F23" s="462"/>
      <c r="G23" s="462"/>
      <c r="H23" s="462"/>
      <c r="I23" s="462"/>
      <c r="J23" s="462"/>
      <c r="K23" s="462"/>
      <c r="L23" s="462"/>
      <c r="M23" s="462"/>
      <c r="N23" s="462"/>
      <c r="O23" s="462"/>
      <c r="P23" s="463"/>
      <c r="Q23" s="461">
        <f t="shared" ca="1" si="17"/>
        <v>429.73025373558875</v>
      </c>
    </row>
    <row r="24" spans="1:17">
      <c r="A24" s="461" t="s">
        <v>112</v>
      </c>
      <c r="B24" s="462">
        <f t="shared" ca="1" si="2"/>
        <v>1338.7195639069655</v>
      </c>
      <c r="C24" s="462">
        <f t="shared" ca="1" si="3"/>
        <v>540.43487394957992</v>
      </c>
      <c r="D24" s="462">
        <f t="shared" si="4"/>
        <v>1830.7319702539146</v>
      </c>
      <c r="E24" s="462">
        <f t="shared" si="5"/>
        <v>13.721324047591473</v>
      </c>
      <c r="F24" s="462">
        <f t="shared" si="6"/>
        <v>5590.6316071921883</v>
      </c>
      <c r="G24" s="462">
        <f t="shared" si="7"/>
        <v>0</v>
      </c>
      <c r="H24" s="462">
        <f t="shared" si="8"/>
        <v>0</v>
      </c>
      <c r="I24" s="462">
        <f t="shared" si="9"/>
        <v>0</v>
      </c>
      <c r="J24" s="462">
        <f t="shared" si="10"/>
        <v>280.98194205476375</v>
      </c>
      <c r="K24" s="462">
        <f t="shared" si="11"/>
        <v>0</v>
      </c>
      <c r="L24" s="462">
        <f t="shared" si="12"/>
        <v>0</v>
      </c>
      <c r="M24" s="462">
        <f t="shared" si="13"/>
        <v>0</v>
      </c>
      <c r="N24" s="462">
        <f t="shared" si="14"/>
        <v>0</v>
      </c>
      <c r="O24" s="462">
        <f t="shared" si="15"/>
        <v>0</v>
      </c>
      <c r="P24" s="463">
        <f t="shared" si="16"/>
        <v>0</v>
      </c>
      <c r="Q24" s="461">
        <f t="shared" ca="1" si="17"/>
        <v>9595.2212814050035</v>
      </c>
    </row>
    <row r="25" spans="1:17">
      <c r="A25" s="461" t="s">
        <v>685</v>
      </c>
      <c r="B25" s="462">
        <f t="shared" ca="1" si="2"/>
        <v>14984.743280864923</v>
      </c>
      <c r="C25" s="462">
        <f t="shared" ca="1" si="3"/>
        <v>0</v>
      </c>
      <c r="D25" s="462">
        <f t="shared" si="4"/>
        <v>40240.324500365314</v>
      </c>
      <c r="E25" s="462">
        <f t="shared" si="5"/>
        <v>179.0265781515333</v>
      </c>
      <c r="F25" s="462">
        <f t="shared" si="6"/>
        <v>4850.490701890415</v>
      </c>
      <c r="G25" s="462">
        <f t="shared" si="7"/>
        <v>0</v>
      </c>
      <c r="H25" s="462">
        <f t="shared" si="8"/>
        <v>0</v>
      </c>
      <c r="I25" s="462">
        <f t="shared" si="9"/>
        <v>0</v>
      </c>
      <c r="J25" s="462">
        <f t="shared" si="10"/>
        <v>103.55112231862176</v>
      </c>
      <c r="K25" s="462">
        <f t="shared" si="11"/>
        <v>0</v>
      </c>
      <c r="L25" s="462">
        <f t="shared" si="12"/>
        <v>0</v>
      </c>
      <c r="M25" s="462">
        <f t="shared" si="13"/>
        <v>0</v>
      </c>
      <c r="N25" s="462">
        <f t="shared" si="14"/>
        <v>0</v>
      </c>
      <c r="O25" s="462">
        <f t="shared" si="15"/>
        <v>0</v>
      </c>
      <c r="P25" s="463">
        <f t="shared" si="16"/>
        <v>0</v>
      </c>
      <c r="Q25" s="461">
        <f t="shared" ca="1" si="17"/>
        <v>60358.136183590803</v>
      </c>
    </row>
    <row r="26" spans="1:17" s="467" customFormat="1">
      <c r="A26" s="465" t="s">
        <v>579</v>
      </c>
      <c r="B26" s="823">
        <f t="shared" ca="1" si="2"/>
        <v>1.9393953759699694</v>
      </c>
      <c r="C26" s="466"/>
      <c r="D26" s="466">
        <f t="shared" si="4"/>
        <v>4.9712097649699603</v>
      </c>
      <c r="E26" s="466">
        <f t="shared" si="5"/>
        <v>387.70672024506547</v>
      </c>
      <c r="F26" s="466"/>
      <c r="G26" s="466">
        <f t="shared" si="7"/>
        <v>107090.710519403</v>
      </c>
      <c r="H26" s="466">
        <f t="shared" si="8"/>
        <v>14267.71853672593</v>
      </c>
      <c r="I26" s="466"/>
      <c r="J26" s="466"/>
      <c r="K26" s="466"/>
      <c r="L26" s="466"/>
      <c r="M26" s="466">
        <f t="shared" si="13"/>
        <v>0</v>
      </c>
      <c r="N26" s="466"/>
      <c r="O26" s="466"/>
      <c r="P26" s="477"/>
      <c r="Q26" s="465">
        <f t="shared" ca="1" si="17"/>
        <v>121753.04638151493</v>
      </c>
    </row>
    <row r="27" spans="1:17">
      <c r="A27" s="461" t="s">
        <v>569</v>
      </c>
      <c r="B27" s="462">
        <f t="shared" ca="1" si="2"/>
        <v>0</v>
      </c>
      <c r="C27" s="462"/>
      <c r="D27" s="466">
        <f t="shared" si="4"/>
        <v>0</v>
      </c>
      <c r="E27" s="462"/>
      <c r="F27" s="462"/>
      <c r="G27" s="462">
        <f t="shared" si="7"/>
        <v>187.27095914149922</v>
      </c>
      <c r="H27" s="462"/>
      <c r="I27" s="462"/>
      <c r="J27" s="462"/>
      <c r="K27" s="462"/>
      <c r="L27" s="462"/>
      <c r="M27" s="462">
        <f t="shared" si="13"/>
        <v>0</v>
      </c>
      <c r="N27" s="462"/>
      <c r="O27" s="462"/>
      <c r="P27" s="463"/>
      <c r="Q27" s="461">
        <f t="shared" ca="1" si="17"/>
        <v>187.27095914149922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31734.04351047309</v>
      </c>
      <c r="C31" s="472">
        <f t="shared" ca="1" si="18"/>
        <v>540.43487394957992</v>
      </c>
      <c r="D31" s="472">
        <f t="shared" ca="1" si="18"/>
        <v>56670.848476497544</v>
      </c>
      <c r="E31" s="472">
        <f t="shared" si="18"/>
        <v>2875.4762737954738</v>
      </c>
      <c r="F31" s="472">
        <f t="shared" ca="1" si="18"/>
        <v>20925.847727656132</v>
      </c>
      <c r="G31" s="472">
        <f t="shared" si="18"/>
        <v>107277.98147854451</v>
      </c>
      <c r="H31" s="472">
        <f t="shared" si="18"/>
        <v>14267.71853672593</v>
      </c>
      <c r="I31" s="472">
        <f t="shared" si="18"/>
        <v>0</v>
      </c>
      <c r="J31" s="472">
        <f t="shared" si="18"/>
        <v>1257.0025865392033</v>
      </c>
      <c r="K31" s="472">
        <f t="shared" si="18"/>
        <v>0</v>
      </c>
      <c r="L31" s="472">
        <f t="shared" ca="1" si="18"/>
        <v>0</v>
      </c>
      <c r="M31" s="472">
        <f t="shared" si="18"/>
        <v>0</v>
      </c>
      <c r="N31" s="472">
        <f t="shared" ca="1" si="18"/>
        <v>0</v>
      </c>
      <c r="O31" s="472">
        <f t="shared" si="18"/>
        <v>0</v>
      </c>
      <c r="P31" s="473">
        <f t="shared" si="18"/>
        <v>0</v>
      </c>
      <c r="Q31" s="473">
        <f t="shared" ca="1" si="18"/>
        <v>235549.35346418142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0.20864176043746566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0.20864176043746566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0.20864176043746566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2018-12-05T16:07:39Z</dcterms:modified>
</cp:coreProperties>
</file>