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M89"/>
  <c r="W88"/>
  <c r="H8" s="1"/>
  <c r="V88"/>
  <c r="J8" s="1"/>
  <c r="U88"/>
  <c r="I8" s="1"/>
  <c r="J68" i="14" s="1"/>
  <c r="T88" i="18"/>
  <c r="S88"/>
  <c r="E8" s="1"/>
  <c r="F68" i="14" s="1"/>
  <c r="R88" i="18"/>
  <c r="Q88"/>
  <c r="P88"/>
  <c r="O88"/>
  <c r="N88"/>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G80" i="14"/>
  <c r="M79"/>
  <c r="I79"/>
  <c r="E79"/>
  <c r="M78"/>
  <c r="L78"/>
  <c r="H78"/>
  <c r="G78"/>
  <c r="E78"/>
  <c r="L68"/>
  <c r="D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F16" i="16" l="1"/>
  <c r="C13" i="15"/>
  <c r="C16" s="1"/>
  <c r="D10" i="14" s="1"/>
  <c r="B16" i="16"/>
  <c r="D8" i="17"/>
  <c r="D12" s="1"/>
  <c r="E48" i="14" s="1"/>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I101" i="18"/>
  <c r="H16" s="1"/>
  <c r="I78" i="14" s="1"/>
  <c r="I81" s="1"/>
  <c r="E101" i="18"/>
  <c r="E16" s="1"/>
  <c r="F78" i="14" s="1"/>
  <c r="G101" i="18"/>
  <c r="C101"/>
  <c r="I11" i="48"/>
  <c r="N19" i="19"/>
  <c r="O35" i="14" s="1"/>
  <c r="B8" i="9"/>
  <c r="B6" i="48" s="1"/>
  <c r="Q6" s="1"/>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12" i="13"/>
  <c r="M37" i="14" s="1"/>
  <c r="J7" i="15"/>
  <c r="B13" i="16"/>
  <c r="C35"/>
  <c r="C80" i="14"/>
  <c r="L6" i="17"/>
  <c r="N13" i="15"/>
  <c r="L13"/>
  <c r="L16" s="1"/>
  <c r="K5" i="48"/>
  <c r="K22" s="1"/>
  <c r="K20" i="15"/>
  <c r="L36" i="14" s="1"/>
  <c r="L41"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J9"/>
  <c r="B7" i="48"/>
  <c r="C22" i="14"/>
  <c r="C65"/>
  <c r="B65"/>
  <c r="F6" i="15"/>
  <c r="F8"/>
  <c r="N10" i="16"/>
  <c r="E14"/>
  <c r="I41" i="14"/>
  <c r="J15"/>
  <c r="H15"/>
  <c r="H69"/>
  <c r="O20"/>
  <c r="L69"/>
  <c r="D5" i="15"/>
  <c r="B8"/>
  <c r="J8"/>
  <c r="F12"/>
  <c r="I20"/>
  <c r="J36" i="14" s="1"/>
  <c r="J41"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B50" i="13"/>
  <c r="P24" i="48"/>
  <c r="E5" i="17"/>
  <c r="C8"/>
  <c r="G24" i="48"/>
  <c r="I24"/>
  <c r="G81" i="14"/>
  <c r="D79"/>
  <c r="H79"/>
  <c r="H81" s="1"/>
  <c r="L79"/>
  <c r="L81" s="1"/>
  <c r="F79"/>
  <c r="J79"/>
  <c r="E68"/>
  <c r="E69" s="1"/>
  <c r="I68"/>
  <c r="M68"/>
  <c r="M69" s="1"/>
  <c r="D19" i="18"/>
  <c r="L19"/>
  <c r="B68" i="14"/>
  <c r="C68" s="1"/>
  <c r="G68"/>
  <c r="G69" s="1"/>
  <c r="K68"/>
  <c r="E81"/>
  <c r="M81"/>
  <c r="B19" i="18"/>
  <c r="F19"/>
  <c r="D11" i="14"/>
  <c r="C4" i="48"/>
  <c r="M8" i="18"/>
  <c r="M17"/>
  <c r="M18"/>
  <c r="F81" i="14" l="1"/>
  <c r="D13"/>
  <c r="D15" s="1"/>
  <c r="D7" i="48"/>
  <c r="D24" s="1"/>
  <c r="Q13" i="14"/>
  <c r="E22"/>
  <c r="L28" i="48"/>
  <c r="K22" i="14"/>
  <c r="P22" i="16"/>
  <c r="Q39" i="14" s="1"/>
  <c r="I16" i="18"/>
  <c r="H19"/>
  <c r="J7" i="48"/>
  <c r="J24" s="1"/>
  <c r="B101" i="18"/>
  <c r="C16" s="1"/>
  <c r="D101"/>
  <c r="J16" s="1"/>
  <c r="L5" i="17"/>
  <c r="L8" s="1"/>
  <c r="E19" i="18"/>
  <c r="F101"/>
  <c r="D18" i="16"/>
  <c r="D22" s="1"/>
  <c r="E39" i="14" s="1"/>
  <c r="L21" i="48"/>
  <c r="B14" i="22"/>
  <c r="B9" i="48" s="1"/>
  <c r="I17" i="14"/>
  <c r="H12" i="22"/>
  <c r="D16" i="15"/>
  <c r="D20" s="1"/>
  <c r="B35" i="13"/>
  <c r="N8" i="17"/>
  <c r="I100" i="18"/>
  <c r="H7" s="1"/>
  <c r="E100"/>
  <c r="E7" s="1"/>
  <c r="H100"/>
  <c r="D100"/>
  <c r="G100"/>
  <c r="C100"/>
  <c r="J7" s="1"/>
  <c r="F100"/>
  <c r="B100"/>
  <c r="C7" s="1"/>
  <c r="G31" i="20"/>
  <c r="H43" i="14" s="1"/>
  <c r="G12" i="22"/>
  <c r="O79" i="14"/>
  <c r="C7" i="48"/>
  <c r="D22" i="14"/>
  <c r="M28" i="48"/>
  <c r="M22"/>
  <c r="D14" i="22"/>
  <c r="E19" i="14" s="1"/>
  <c r="E20" s="1"/>
  <c r="N17"/>
  <c r="M12" i="22"/>
  <c r="B36" i="13"/>
  <c r="B48" s="1"/>
  <c r="C48" s="1"/>
  <c r="N5" s="1"/>
  <c r="N8" s="1"/>
  <c r="N4" i="48" s="1"/>
  <c r="N21" s="1"/>
  <c r="O68" i="14"/>
  <c r="C79"/>
  <c r="L22" i="16"/>
  <c r="M39" i="14" s="1"/>
  <c r="L8" i="48"/>
  <c r="L25" s="1"/>
  <c r="M13" i="14"/>
  <c r="E8" i="17"/>
  <c r="F22" i="14" s="1"/>
  <c r="E14" i="22"/>
  <c r="E9" i="48" s="1"/>
  <c r="E26" s="1"/>
  <c r="K14"/>
  <c r="B34" i="13"/>
  <c r="O18" i="16"/>
  <c r="M13" i="48"/>
  <c r="M51" i="22"/>
  <c r="M50" s="1"/>
  <c r="M54" s="1"/>
  <c r="M10" i="48" s="1"/>
  <c r="M27" s="1"/>
  <c r="H31" i="20"/>
  <c r="I43" i="14" s="1"/>
  <c r="H13" i="48"/>
  <c r="H30" s="1"/>
  <c r="M31" i="20"/>
  <c r="N43" i="14" s="1"/>
  <c r="G50" i="22"/>
  <c r="G54" s="1"/>
  <c r="H18" i="14" s="1"/>
  <c r="G13" i="48"/>
  <c r="H17" i="14"/>
  <c r="G30" i="48"/>
  <c r="M5" i="22"/>
  <c r="G5"/>
  <c r="H5"/>
  <c r="H14" s="1"/>
  <c r="I14" i="48"/>
  <c r="E5" i="15"/>
  <c r="O20"/>
  <c r="P36" i="14" s="1"/>
  <c r="P10"/>
  <c r="P20" i="15"/>
  <c r="Q36" i="14" s="1"/>
  <c r="Q41" s="1"/>
  <c r="Q53" s="1"/>
  <c r="Q10"/>
  <c r="Q15" s="1"/>
  <c r="Q23" s="1"/>
  <c r="J5" i="15"/>
  <c r="F4" i="48"/>
  <c r="F21" s="1"/>
  <c r="B69" i="14"/>
  <c r="B4" i="6" s="1"/>
  <c r="J23" i="14"/>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B46" i="13"/>
  <c r="E5" s="1"/>
  <c r="E8" s="1"/>
  <c r="E12" s="1"/>
  <c r="F37" i="14" s="1"/>
  <c r="K31" i="48"/>
  <c r="M30"/>
  <c r="M25"/>
  <c r="M24"/>
  <c r="I31"/>
  <c r="C50" i="13"/>
  <c r="J5" s="1"/>
  <c r="J8" s="1"/>
  <c r="E7" i="48"/>
  <c r="E24" s="1"/>
  <c r="E12" i="17"/>
  <c r="F48" i="14" s="1"/>
  <c r="C5" i="48"/>
  <c r="C14" s="1"/>
  <c r="I7" i="18" l="1"/>
  <c r="M14" i="22"/>
  <c r="M18" s="1"/>
  <c r="N45" i="14" s="1"/>
  <c r="N46" s="1"/>
  <c r="N53" s="1"/>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M7"/>
  <c r="M9" s="1"/>
  <c r="D67" i="14"/>
  <c r="N7" i="48"/>
  <c r="N24" s="1"/>
  <c r="N12" i="17"/>
  <c r="O48" i="14" s="1"/>
  <c r="K78"/>
  <c r="M16" i="18"/>
  <c r="M19" s="1"/>
  <c r="J19"/>
  <c r="O22" i="14"/>
  <c r="R22" s="1"/>
  <c r="O8" i="48"/>
  <c r="O25" s="1"/>
  <c r="P13" i="14"/>
  <c r="P15" s="1"/>
  <c r="P23" s="1"/>
  <c r="K67"/>
  <c r="K69" s="1"/>
  <c r="J9" i="18"/>
  <c r="F67" i="14"/>
  <c r="F69" s="1"/>
  <c r="E9" i="18"/>
  <c r="E16" i="15"/>
  <c r="F10" i="14" s="1"/>
  <c r="O22" i="16"/>
  <c r="P39" i="14" s="1"/>
  <c r="P41" s="1"/>
  <c r="P53" s="1"/>
  <c r="J67"/>
  <c r="I9" i="18"/>
  <c r="I67" i="14"/>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P55" i="14" l="1"/>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8"/>
  <c r="Q4"/>
  <c r="N22"/>
  <c r="R11" i="14"/>
  <c r="J21" i="48"/>
  <c r="R10" i="14"/>
  <c r="F22" i="16" l="1"/>
  <c r="G39" i="14" s="1"/>
  <c r="G41" s="1"/>
  <c r="G53" s="1"/>
  <c r="G55" s="1"/>
  <c r="O69" s="1"/>
  <c r="B9" i="6" s="1"/>
  <c r="B12" s="1"/>
  <c r="J14" i="48"/>
  <c r="O13" i="14"/>
  <c r="O15" s="1"/>
  <c r="N22" i="16"/>
  <c r="O39" i="14" s="1"/>
  <c r="O41" s="1"/>
  <c r="O53" s="1"/>
  <c r="K13"/>
  <c r="K15" s="1"/>
  <c r="K23" s="1"/>
  <c r="J31" i="48"/>
  <c r="E25"/>
  <c r="E31" s="1"/>
  <c r="E14"/>
  <c r="N25"/>
  <c r="N31" s="1"/>
  <c r="N14"/>
  <c r="E22" i="16"/>
  <c r="F39" i="14" s="1"/>
  <c r="F41" s="1"/>
  <c r="F53" s="1"/>
  <c r="J22" i="16"/>
  <c r="K39" i="14" s="1"/>
  <c r="K41" s="1"/>
  <c r="K53" s="1"/>
  <c r="K55" s="1"/>
  <c r="Q8" i="48"/>
  <c r="F13" i="14"/>
  <c r="F15" s="1"/>
  <c r="F23" s="1"/>
  <c r="G14" i="48"/>
  <c r="H55" i="14"/>
  <c r="M14" i="48"/>
  <c r="R19" i="14"/>
  <c r="R20" s="1"/>
  <c r="M26" i="48"/>
  <c r="M31" s="1"/>
  <c r="M53" i="14"/>
  <c r="M55" s="1"/>
  <c r="C12" i="13"/>
  <c r="D37" i="14" s="1"/>
  <c r="D41" s="1"/>
  <c r="C24" i="48"/>
  <c r="C28"/>
  <c r="C22"/>
  <c r="C25"/>
  <c r="C21"/>
  <c r="F25"/>
  <c r="F31" s="1"/>
  <c r="F14"/>
  <c r="Q14"/>
  <c r="R13" i="14" l="1"/>
  <c r="R15" s="1"/>
  <c r="F5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<sst xmlns="http://schemas.openxmlformats.org/spreadsheetml/2006/main" count="2205" uniqueCount="914">
  <si>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</si>
  <si>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</si>
  <si>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</si>
  <si>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</si>
  <si>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</si>
  <si>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</si>
  <si>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</si>
  <si>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</si>
  <si>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</si>
  <si>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</si>
  <si>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</si>
  <si>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</si>
  <si>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</si>
  <si>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</si>
  <si>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</si>
  <si>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</si>
  <si>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</si>
  <si>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</si>
  <si>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</si>
  <si>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</si>
  <si>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</si>
  <si>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</si>
  <si>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</si>
  <si>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</si>
  <si>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</si>
  <si>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</si>
  <si>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</si>
  <si>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</si>
  <si>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</si>
  <si>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</si>
  <si>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</si>
  <si>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</si>
  <si>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</si>
  <si>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</si>
  <si>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</si>
  <si>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</si>
  <si>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</si>
  <si>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</si>
  <si>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</si>
  <si>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</si>
  <si>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</si>
  <si>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</si>
  <si>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</si>
  <si>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</si>
  <si>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</si>
  <si>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</si>
  <si>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</si>
  <si>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</si>
  <si>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</si>
  <si>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</si>
  <si>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</si>
  <si>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</si>
  <si>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</si>
  <si>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</si>
  <si>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</si>
  <si>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</si>
  <si>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</si>
  <si>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</si>
  <si>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</si>
  <si>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</si>
  <si>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</si>
  <si>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</si>
  <si>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</si>
  <si>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</si>
  <si>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</si>
  <si>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</si>
  <si>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</si>
  <si>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</si>
  <si>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</si>
  <si>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</si>
  <si>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</si>
  <si>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</si>
  <si>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</si>
  <si>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</si>
  <si>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</si>
  <si>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</si>
  <si>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</si>
  <si>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</si>
  <si>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</si>
  <si>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</si>
  <si>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</si>
  <si>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</si>
  <si>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</si>
  <si>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</si>
  <si>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</si>
  <si>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</si>
  <si>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</si>
  <si>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</si>
  <si>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</si>
  <si>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</si>
  <si>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</si>
  <si>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</si>
  <si>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</si>
  <si>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</si>
  <si>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</si>
  <si>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</si>
  <si>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</si>
  <si>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</si>
  <si>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</si>
  <si>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</si>
  <si>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</si>
  <si>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</si>
  <si>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</si>
  <si>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</si>
  <si>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</si>
  <si>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</si>
  <si>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</si>
  <si>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</si>
  <si>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</si>
  <si>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</si>
  <si>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</si>
  <si>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</si>
  <si>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</si>
  <si>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</si>
  <si>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</si>
  <si>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</si>
  <si>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</si>
  <si>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</si>
  <si>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</si>
  <si>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</si>
  <si>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</si>
  <si>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</si>
  <si>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</si>
  <si>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</si>
  <si>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</si>
  <si>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</si>
  <si>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</si>
  <si>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</si>
  <si>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</si>
  <si>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</si>
  <si>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</si>
  <si>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</si>
  <si>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</si>
  <si>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</si>
  <si>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</si>
  <si>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</si>
  <si>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</si>
  <si>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</si>
  <si>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</si>
  <si>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</si>
  <si>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</si>
  <si>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</si>
  <si>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</si>
  <si>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</si>
  <si>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</si>
  <si>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</si>
  <si>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</si>
  <si>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</si>
  <si>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</si>
  <si>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</si>
  <si>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</si>
  <si>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</si>
  <si>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</si>
  <si>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</si>
  <si>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</si>
  <si>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</si>
  <si>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</si>
  <si>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</si>
  <si>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</si>
  <si>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</si>
  <si>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</si>
  <si>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</si>
  <si>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</si>
  <si>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</si>
  <si>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</si>
  <si>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</si>
  <si>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</si>
  <si>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</si>
  <si>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</si>
  <si>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</si>
  <si>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</si>
  <si>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</si>
  <si>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</si>
  <si>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</si>
  <si>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</si>
  <si>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</si>
  <si>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</si>
  <si>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</si>
  <si>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</si>
  <si>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</si>
  <si>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</si>
  <si>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</si>
  <si>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</si>
  <si>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</si>
  <si>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</si>
  <si>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</si>
  <si>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</si>
  <si>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</si>
  <si>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</si>
  <si>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</si>
  <si>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</si>
  <si>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</si>
  <si>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</si>
  <si>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</si>
  <si>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</si>
  <si>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</si>
  <si>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</si>
  <si>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</si>
  <si>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</si>
  <si>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</si>
  <si>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</si>
  <si>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</si>
  <si>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</si>
  <si>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</si>
  <si>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</si>
  <si>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</si>
  <si>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</si>
  <si>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</si>
  <si>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</si>
  <si>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</si>
  <si>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</si>
  <si>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</si>
  <si>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</si>
  <si>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</si>
  <si>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</si>
  <si>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</si>
  <si>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</si>
  <si>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</si>
  <si>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</si>
  <si>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</si>
  <si>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</si>
  <si>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</si>
  <si>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</si>
  <si>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</si>
  <si>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</si>
  <si>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</si>
  <si>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</si>
  <si>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</si>
  <si>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</si>
  <si>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</si>
  <si>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</si>
  <si>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</si>
  <si>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</si>
  <si>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</si>
  <si>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</si>
  <si>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</si>
  <si>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</si>
  <si>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</si>
  <si>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</si>
  <si>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</si>
  <si>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</si>
  <si>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</si>
  <si>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</si>
  <si>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</si>
  <si>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</si>
  <si>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</si>
  <si>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</si>
  <si>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</si>
  <si>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</si>
  <si>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</si>
  <si>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</si>
  <si>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</si>
  <si>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</si>
  <si>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</si>
  <si>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</si>
  <si>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</si>
  <si>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</si>
  <si>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</si>
  <si>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</si>
  <si>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</si>
  <si>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</si>
  <si>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</si>
  <si>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</si>
  <si>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</si>
  <si>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</si>
  <si>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</si>
  <si>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</si>
  <si>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</si>
  <si>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</si>
  <si>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</si>
  <si>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</si>
  <si>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</si>
  <si>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</si>
  <si>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</si>
  <si>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</si>
  <si>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</si>
  <si>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</si>
  <si>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</si>
  <si>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</si>
  <si>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</si>
  <si>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</si>
  <si>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</si>
  <si>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</si>
  <si>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</si>
  <si>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</si>
  <si>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</si>
  <si>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</si>
  <si>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</si>
  <si>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</si>
  <si>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</si>
  <si>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</si>
  <si>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</si>
  <si>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</si>
  <si>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</si>
  <si>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</si>
  <si>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</si>
  <si>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</si>
  <si>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</si>
  <si>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</si>
  <si>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</si>
  <si>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</si>
  <si>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</si>
  <si>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</si>
  <si>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</si>
  <si>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</si>
  <si>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</si>
  <si>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</si>
  <si>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</si>
  <si>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</si>
  <si>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</si>
  <si>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</si>
  <si>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</si>
  <si>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</si>
  <si>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</si>
  <si>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</si>
  <si>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</si>
  <si>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</si>
  <si>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</si>
  <si>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</si>
  <si>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</si>
  <si>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</si>
  <si>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</si>
  <si>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</si>
  <si>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</si>
  <si>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</si>
  <si>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</si>
  <si>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</si>
  <si>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</si>
  <si>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</si>
  <si>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</si>
  <si>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</si>
  <si>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</si>
  <si>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</si>
  <si>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</si>
  <si>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</si>
  <si>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</si>
  <si>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</si>
  <si>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</si>
  <si>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</si>
  <si>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</si>
  <si>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</si>
  <si>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</si>
  <si>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</si>
  <si>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</si>
  <si>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</si>
  <si>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</si>
  <si>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</si>
  <si>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</si>
  <si>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</si>
  <si>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</si>
  <si>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</si>
  <si>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</si>
  <si>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</si>
  <si>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</si>
  <si>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</si>
  <si>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</si>
  <si>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</si>
  <si>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</si>
  <si>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</si>
  <si>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</si>
  <si>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</si>
  <si>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</si>
  <si>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</si>
  <si>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</si>
  <si>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</si>
  <si>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</si>
  <si>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</si>
  <si>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</si>
  <si>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</si>
  <si>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</si>
  <si>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</si>
  <si>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</si>
  <si>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</si>
  <si>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</si>
  <si>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</si>
  <si>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</si>
  <si>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</si>
  <si>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</si>
  <si>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</si>
  <si>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</si>
  <si>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</si>
  <si>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</si>
  <si>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</si>
  <si>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</si>
  <si>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</si>
  <si>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</si>
  <si>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</si>
  <si>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</si>
  <si>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</si>
  <si>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</si>
  <si>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</si>
  <si>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</si>
  <si>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</si>
  <si>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</si>
  <si>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</si>
  <si>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</si>
  <si>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</si>
  <si>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</si>
  <si>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</si>
  <si>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</si>
  <si>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</si>
  <si>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</si>
  <si>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</si>
  <si>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</si>
  <si>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</si>
  <si>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</si>
  <si>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</si>
  <si>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</si>
  <si>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</si>
  <si>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</si>
  <si>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</si>
  <si>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</si>
  <si>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</si>
  <si>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</si>
  <si>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</si>
  <si>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</si>
  <si>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</si>
  <si>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</si>
  <si>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</si>
  <si>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</si>
  <si>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</si>
  <si>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</si>
  <si>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</si>
  <si>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</si>
  <si>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</si>
  <si>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</si>
  <si>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</si>
  <si>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</si>
  <si>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</si>
  <si>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</si>
  <si>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</si>
  <si>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</si>
  <si>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</si>
  <si>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</si>
  <si>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</si>
  <si>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</si>
  <si>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</si>
  <si>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</si>
  <si>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</si>
  <si>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</si>
  <si>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</si>
  <si>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</si>
  <si>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</si>
  <si>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</si>
  <si>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</si>
  <si>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</si>
  <si>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</si>
  <si>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</si>
  <si>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</si>
  <si>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</si>
  <si>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</si>
  <si>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</si>
  <si>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</si>
  <si>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</si>
  <si>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</si>
  <si>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</si>
  <si>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</si>
  <si>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</si>
  <si>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</si>
  <si>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</si>
  <si>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</si>
  <si>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</si>
  <si>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</si>
  <si>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</si>
  <si>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</si>
  <si>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</si>
  <si>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</si>
  <si>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</si>
  <si>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</si>
  <si>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</si>
  <si>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</si>
  <si>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</si>
  <si>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</si>
  <si>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</si>
  <si>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</si>
  <si>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</si>
  <si>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</si>
  <si>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</si>
  <si>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</si>
  <si>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</si>
  <si>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</si>
  <si>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</si>
  <si>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</si>
  <si>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</si>
  <si>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</si>
  <si>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</si>
  <si>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</si>
  <si>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</si>
  <si>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</si>
  <si>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</si>
  <si>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</si>
  <si>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</si>
  <si>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</si>
  <si>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</si>
  <si>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</si>
  <si>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</si>
  <si>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</si>
  <si>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</si>
  <si>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</si>
  <si>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</si>
  <si>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</si>
  <si>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</si>
  <si>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</si>
  <si>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</si>
  <si>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</si>
  <si>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</si>
  <si>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</si>
  <si>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</si>
  <si>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</si>
  <si>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</si>
  <si>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</si>
  <si>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</si>
  <si>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</si>
  <si>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</si>
  <si>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</si>
  <si>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</si>
  <si>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</si>
  <si>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</si>
  <si>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</si>
  <si>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</si>
  <si>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</si>
  <si>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</si>
  <si>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</si>
  <si>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</si>
  <si>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</si>
  <si>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</si>
  <si>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</si>
  <si>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</si>
  <si>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</si>
  <si>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</si>
  <si>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</si>
  <si>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</si>
  <si>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</si>
  <si>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</si>
  <si>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</si>
  <si>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</si>
  <si>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</si>
  <si>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</si>
  <si>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</si>
  <si>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</si>
  <si>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</si>
  <si>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</si>
  <si>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</si>
  <si>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</si>
  <si>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</si>
  <si>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</si>
  <si>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</si>
  <si>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</si>
  <si>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</si>
  <si>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</si>
  <si>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</si>
  <si>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</si>
  <si>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</si>
  <si>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</si>
  <si>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</si>
  <si>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</si>
  <si>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</si>
  <si>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</si>
  <si>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</si>
  <si>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</si>
  <si>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</si>
  <si>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</si>
  <si>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</si>
  <si>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</si>
  <si>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</si>
  <si>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</si>
  <si>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</si>
  <si>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</si>
  <si>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</si>
  <si>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</si>
  <si>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</si>
  <si>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</si>
  <si>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</si>
  <si>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</si>
  <si>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</si>
  <si>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</si>
  <si>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</si>
  <si>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</si>
  <si>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</si>
  <si>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</si>
  <si>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</si>
  <si>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</si>
  <si>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</si>
  <si>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</si>
  <si>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</si>
  <si>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</si>
  <si>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</si>
  <si>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</si>
  <si>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</si>
  <si>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</si>
  <si>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</si>
  <si>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</si>
  <si>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</si>
  <si>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</si>
  <si>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</si>
  <si>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</si>
  <si>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</si>
  <si>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</si>
  <si>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</si>
  <si>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</si>
  <si>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</si>
  <si>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</si>
  <si>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</si>
  <si>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</si>
  <si>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</si>
  <si>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</si>
  <si>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</si>
  <si>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</si>
  <si>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</si>
  <si>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</si>
  <si>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</si>
  <si>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</si>
  <si>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</si>
  <si>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</si>
  <si>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</si>
  <si>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</si>
  <si>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</si>
  <si>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</si>
  <si>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</si>
  <si>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</si>
  <si>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</si>
  <si>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</si>
  <si>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</si>
  <si>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</si>
  <si>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</si>
  <si>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</si>
  <si>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</si>
  <si>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</si>
  <si>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</si>
  <si>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</si>
  <si>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</si>
  <si>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</si>
  <si>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</si>
  <si>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</si>
  <si>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</si>
  <si>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</si>
  <si>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</si>
  <si>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</si>
  <si>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</si>
  <si>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</si>
  <si>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</si>
  <si>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</si>
  <si>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</si>
  <si>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</si>
  <si>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</si>
  <si>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</si>
  <si>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</si>
  <si>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</si>
  <si>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</si>
  <si>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</si>
  <si>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</si>
  <si>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</si>
  <si>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</si>
  <si>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</si>
  <si>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</si>
  <si>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</si>
  <si>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</si>
  <si>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</si>
  <si>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</si>
  <si>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</si>
  <si>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</si>
  <si>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</si>
  <si>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</si>
  <si>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</si>
  <si>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</si>
  <si>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</si>
  <si>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</si>
  <si>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</si>
  <si>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</si>
  <si>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</si>
  <si>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</si>
  <si>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</si>
  <si>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</si>
  <si>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</si>
  <si>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</si>
  <si>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</si>
  <si>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</si>
  <si>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</si>
  <si>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</si>
  <si>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</si>
  <si>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</si>
  <si>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</si>
  <si>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</si>
  <si>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</si>
  <si>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</si>
  <si>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</si>
  <si>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</si>
  <si>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</si>
  <si>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</si>
  <si>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</si>
  <si>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</si>
  <si>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</si>
  <si>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</si>
  <si>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</si>
  <si>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</si>
  <si>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</si>
  <si>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</si>
  <si>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</si>
  <si>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</si>
  <si>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</si>
  <si>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</si>
  <si>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</si>
  <si>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</si>
  <si>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</si>
  <si>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</si>
  <si>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</si>
  <si>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</si>
  <si>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</si>
  <si>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</si>
  <si>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</si>
  <si>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</si>
  <si>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</si>
  <si>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</si>
  <si>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</si>
  <si>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</si>
  <si>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</si>
  <si>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</si>
  <si>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</si>
  <si>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</si>
  <si>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</si>
  <si>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</si>
  <si>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</si>
  <si>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</si>
  <si>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</si>
  <si>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</si>
  <si>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</si>
  <si>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</si>
  <si>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</si>
  <si>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</si>
  <si>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</si>
  <si>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</si>
  <si>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</si>
  <si>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</si>
  <si>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</si>
  <si>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</si>
  <si>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</si>
  <si>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</si>
  <si>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</si>
  <si>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</si>
  <si>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</si>
  <si>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</si>
  <si>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</si>
  <si>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</si>
  <si>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</si>
  <si>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</si>
  <si>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</si>
  <si>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</si>
  <si>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</si>
  <si>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</si>
  <si>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</si>
  <si>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</si>
  <si>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</si>
  <si>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</si>
  <si>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</si>
  <si>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</si>
  <si>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</si>
  <si>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</si>
  <si>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</si>
  <si>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</si>
  <si>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</si>
  <si>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</si>
  <si>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</si>
  <si>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</si>
  <si>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</si>
  <si>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</si>
  <si>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</si>
  <si>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</si>
  <si>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</si>
  <si>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</si>
  <si>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</si>
  <si>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</si>
  <si>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</si>
  <si>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</si>
  <si>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</si>
  <si>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</si>
  <si>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</si>
  <si>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</si>
  <si>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</si>
  <si>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</si>
  <si>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</si>
  <si>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</si>
  <si>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</si>
  <si>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</si>
  <si>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</si>
  <si>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</si>
  <si>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</si>
  <si>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</si>
  <si>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</si>
  <si>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</si>
  <si>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</si>
  <si>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</si>
  <si>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</si>
  <si>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</si>
  <si>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</si>
  <si>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</si>
  <si>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</si>
  <si>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</si>
  <si>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</si>
  <si>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</si>
  <si>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</si>
  <si>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</si>
  <si>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</si>
  <si>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</si>
  <si>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</si>
  <si>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</si>
  <si>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</si>
  <si>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</si>
  <si>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</si>
  <si>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</si>
  <si>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</si>
  <si>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</si>
  <si>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</si>
  <si>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</si>
  <si>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</si>
  <si>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</si>
  <si>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</si>
  <si>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</si>
  <si>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</si>
  <si>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</si>
  <si>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</si>
  <si>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</si>
  <si>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</si>
  <si>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</si>
  <si>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</si>
  <si>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</si>
  <si>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</si>
  <si>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</si>
  <si>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</si>
  <si>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</si>
  <si>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</si>
  <si>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</si>
  <si>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</si>
  <si>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</si>
  <si>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</si>
  <si>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</si>
  <si>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</si>
  <si>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</si>
  <si>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</si>
  <si>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</si>
  <si>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</si>
  <si>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</si>
  <si>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</si>
  <si>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</si>
  <si>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</si>
  <si>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</si>
  <si>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</si>
  <si>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</si>
  <si>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</si>
  <si>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</si>
  <si>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</si>
  <si>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</si>
  <si>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</si>
  <si>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</si>
  <si>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</si>
  <si>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</si>
  <si>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</si>
  <si>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</si>
  <si>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</si>
  <si>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</si>
  <si>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</si>
  <si>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</si>
  <si>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</si>
  <si>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</si>
  <si>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</si>
  <si>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</si>
  <si>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</si>
  <si>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</si>
  <si>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</si>
  <si>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</si>
  <si>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</si>
  <si>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</si>
  <si>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</si>
  <si>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</si>
  <si>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</si>
  <si>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</si>
  <si>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</si>
  <si>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</si>
  <si>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</si>
  <si>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</si>
  <si>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</si>
  <si>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</si>
  <si>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</si>
  <si>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</si>
  <si>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</si>
  <si>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</si>
  <si>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</si>
  <si>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</si>
  <si>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</si>
  <si>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</si>
  <si>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</si>
  <si>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</si>
  <si>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</si>
  <si>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</si>
  <si>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</si>
  <si>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</si>
  <si>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</si>
  <si>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</si>
  <si>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</si>
  <si>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</si>
  <si>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</si>
  <si>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</si>
  <si>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</si>
  <si>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</si>
  <si>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</si>
  <si>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</si>
  <si>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</si>
  <si>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</si>
  <si>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</si>
  <si>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42023</t>
  </si>
  <si>
    <t>WAASMUNSTER</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</si>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</sst>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42023</v>
      </c>
      <c r="B6" s="397"/>
      <c r="C6" s="398"/>
    </row>
    <row r="7" spans="1:7" s="395" customFormat="1" ht="15.75" customHeight="1">
      <c r="A7" s="399" t="str">
        <f>txtMunicipality</f>
        <v>WAASMUNSTER</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42023</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4243</v>
      </c>
      <c r="C9" s="338">
        <v>4196</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1376</v>
      </c>
    </row>
    <row r="15" spans="1:6">
      <c r="A15" s="1260" t="s">
        <v>184</v>
      </c>
      <c r="B15" s="335">
        <v>8</v>
      </c>
    </row>
    <row r="16" spans="1:6">
      <c r="A16" s="1260" t="s">
        <v>6</v>
      </c>
      <c r="B16" s="335">
        <v>339</v>
      </c>
    </row>
    <row r="17" spans="1:6">
      <c r="A17" s="1260" t="s">
        <v>7</v>
      </c>
      <c r="B17" s="335">
        <v>451</v>
      </c>
    </row>
    <row r="18" spans="1:6">
      <c r="A18" s="1260" t="s">
        <v>8</v>
      </c>
      <c r="B18" s="335">
        <v>510</v>
      </c>
    </row>
    <row r="19" spans="1:6">
      <c r="A19" s="1260" t="s">
        <v>9</v>
      </c>
      <c r="B19" s="335">
        <v>448</v>
      </c>
    </row>
    <row r="20" spans="1:6">
      <c r="A20" s="1260" t="s">
        <v>10</v>
      </c>
      <c r="B20" s="335">
        <v>359</v>
      </c>
    </row>
    <row r="21" spans="1:6">
      <c r="A21" s="1260" t="s">
        <v>11</v>
      </c>
      <c r="B21" s="335">
        <v>4677</v>
      </c>
    </row>
    <row r="22" spans="1:6">
      <c r="A22" s="1260" t="s">
        <v>12</v>
      </c>
      <c r="B22" s="335">
        <v>10458</v>
      </c>
    </row>
    <row r="23" spans="1:6">
      <c r="A23" s="1260" t="s">
        <v>13</v>
      </c>
      <c r="B23" s="335">
        <v>301</v>
      </c>
    </row>
    <row r="24" spans="1:6">
      <c r="A24" s="1260" t="s">
        <v>14</v>
      </c>
      <c r="B24" s="335">
        <v>11</v>
      </c>
    </row>
    <row r="25" spans="1:6">
      <c r="A25" s="1260" t="s">
        <v>15</v>
      </c>
      <c r="B25" s="335">
        <v>957</v>
      </c>
    </row>
    <row r="26" spans="1:6">
      <c r="A26" s="1260" t="s">
        <v>16</v>
      </c>
      <c r="B26" s="335">
        <v>41</v>
      </c>
    </row>
    <row r="27" spans="1:6">
      <c r="A27" s="1260" t="s">
        <v>17</v>
      </c>
      <c r="B27" s="335">
        <v>0</v>
      </c>
    </row>
    <row r="28" spans="1:6" s="341" customFormat="1">
      <c r="A28" s="1261" t="s">
        <v>18</v>
      </c>
      <c r="B28" s="1261">
        <v>12325</v>
      </c>
    </row>
    <row r="29" spans="1:6">
      <c r="A29" s="1261" t="s">
        <v>910</v>
      </c>
      <c r="B29" s="1261">
        <v>171</v>
      </c>
      <c r="C29" s="341"/>
      <c r="D29" s="341"/>
      <c r="E29" s="341"/>
      <c r="F29" s="341"/>
    </row>
    <row r="30" spans="1:6">
      <c r="A30" s="1256" t="s">
        <v>911</v>
      </c>
      <c r="B30" s="1256">
        <v>68</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0</v>
      </c>
      <c r="F38" s="335">
        <v>0</v>
      </c>
    </row>
    <row r="39" spans="1:6">
      <c r="A39" s="1260" t="s">
        <v>30</v>
      </c>
      <c r="B39" s="1260" t="s">
        <v>31</v>
      </c>
      <c r="C39" s="335">
        <v>2128</v>
      </c>
      <c r="D39" s="335">
        <v>40971758.0098892</v>
      </c>
      <c r="E39" s="335">
        <v>4058</v>
      </c>
      <c r="F39" s="335">
        <v>21505421.9313205</v>
      </c>
    </row>
    <row r="40" spans="1:6">
      <c r="A40" s="1260" t="s">
        <v>30</v>
      </c>
      <c r="B40" s="1260" t="s">
        <v>29</v>
      </c>
      <c r="C40" s="335">
        <v>0</v>
      </c>
      <c r="D40" s="335">
        <v>0</v>
      </c>
      <c r="E40" s="335">
        <v>0</v>
      </c>
      <c r="F40" s="335">
        <v>0</v>
      </c>
    </row>
    <row r="41" spans="1:6">
      <c r="A41" s="1260" t="s">
        <v>32</v>
      </c>
      <c r="B41" s="1260" t="s">
        <v>33</v>
      </c>
      <c r="C41" s="335">
        <v>32</v>
      </c>
      <c r="D41" s="335">
        <v>616991.41975889495</v>
      </c>
      <c r="E41" s="335">
        <v>84</v>
      </c>
      <c r="F41" s="335">
        <v>613405.71048576303</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3</v>
      </c>
      <c r="F44" s="335">
        <v>41370.351641622801</v>
      </c>
    </row>
    <row r="45" spans="1:6">
      <c r="A45" s="1260" t="s">
        <v>32</v>
      </c>
      <c r="B45" s="1260" t="s">
        <v>37</v>
      </c>
      <c r="C45" s="335">
        <v>0</v>
      </c>
      <c r="D45" s="335">
        <v>0</v>
      </c>
      <c r="E45" s="335">
        <v>3</v>
      </c>
      <c r="F45" s="335">
        <v>160257.169600792</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14</v>
      </c>
      <c r="D48" s="335">
        <v>390364.57322470401</v>
      </c>
      <c r="E48" s="335">
        <v>28</v>
      </c>
      <c r="F48" s="335">
        <v>419017.82381601899</v>
      </c>
    </row>
    <row r="49" spans="1:6">
      <c r="A49" s="1260" t="s">
        <v>32</v>
      </c>
      <c r="B49" s="1260" t="s">
        <v>40</v>
      </c>
      <c r="C49" s="335">
        <v>0</v>
      </c>
      <c r="D49" s="335">
        <v>0</v>
      </c>
      <c r="E49" s="335">
        <v>0</v>
      </c>
      <c r="F49" s="335">
        <v>0</v>
      </c>
    </row>
    <row r="50" spans="1:6">
      <c r="A50" s="1260" t="s">
        <v>32</v>
      </c>
      <c r="B50" s="1260" t="s">
        <v>41</v>
      </c>
      <c r="C50" s="335">
        <v>4</v>
      </c>
      <c r="D50" s="335">
        <v>131282.83918262401</v>
      </c>
      <c r="E50" s="335">
        <v>8</v>
      </c>
      <c r="F50" s="335">
        <v>494739.06120378402</v>
      </c>
    </row>
    <row r="51" spans="1:6">
      <c r="A51" s="1260" t="s">
        <v>42</v>
      </c>
      <c r="B51" s="1260" t="s">
        <v>43</v>
      </c>
      <c r="C51" s="335">
        <v>0</v>
      </c>
      <c r="D51" s="335">
        <v>0</v>
      </c>
      <c r="E51" s="335">
        <v>44</v>
      </c>
      <c r="F51" s="335">
        <v>796815.350371673</v>
      </c>
    </row>
    <row r="52" spans="1:6">
      <c r="A52" s="1260" t="s">
        <v>42</v>
      </c>
      <c r="B52" s="1260" t="s">
        <v>29</v>
      </c>
      <c r="C52" s="335">
        <v>3</v>
      </c>
      <c r="D52" s="335">
        <v>732448.04424241604</v>
      </c>
      <c r="E52" s="335">
        <v>3</v>
      </c>
      <c r="F52" s="335">
        <v>285144.34533391899</v>
      </c>
    </row>
    <row r="53" spans="1:6">
      <c r="A53" s="1260" t="s">
        <v>44</v>
      </c>
      <c r="B53" s="1260" t="s">
        <v>45</v>
      </c>
      <c r="C53" s="335">
        <v>55</v>
      </c>
      <c r="D53" s="335">
        <v>1921227.0961445</v>
      </c>
      <c r="E53" s="335">
        <v>124</v>
      </c>
      <c r="F53" s="335">
        <v>1031649.44705425</v>
      </c>
    </row>
    <row r="54" spans="1:6">
      <c r="A54" s="1260" t="s">
        <v>46</v>
      </c>
      <c r="B54" s="1260" t="s">
        <v>47</v>
      </c>
      <c r="C54" s="335">
        <v>0</v>
      </c>
      <c r="D54" s="335">
        <v>0</v>
      </c>
      <c r="E54" s="335">
        <v>1</v>
      </c>
      <c r="F54" s="335">
        <v>831763</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14</v>
      </c>
      <c r="D57" s="335">
        <v>374370.01380922098</v>
      </c>
      <c r="E57" s="335">
        <v>71</v>
      </c>
      <c r="F57" s="335">
        <v>1064231.1615430999</v>
      </c>
    </row>
    <row r="58" spans="1:6">
      <c r="A58" s="1260" t="s">
        <v>49</v>
      </c>
      <c r="B58" s="1260" t="s">
        <v>51</v>
      </c>
      <c r="C58" s="335">
        <v>16</v>
      </c>
      <c r="D58" s="335">
        <v>2327544.3636948299</v>
      </c>
      <c r="E58" s="335">
        <v>28</v>
      </c>
      <c r="F58" s="335">
        <v>442471.47985521902</v>
      </c>
    </row>
    <row r="59" spans="1:6">
      <c r="A59" s="1260" t="s">
        <v>49</v>
      </c>
      <c r="B59" s="1260" t="s">
        <v>52</v>
      </c>
      <c r="C59" s="335">
        <v>24</v>
      </c>
      <c r="D59" s="335">
        <v>831673.788642011</v>
      </c>
      <c r="E59" s="335">
        <v>119</v>
      </c>
      <c r="F59" s="335">
        <v>2369172.14391409</v>
      </c>
    </row>
    <row r="60" spans="1:6">
      <c r="A60" s="1260" t="s">
        <v>49</v>
      </c>
      <c r="B60" s="1260" t="s">
        <v>53</v>
      </c>
      <c r="C60" s="335">
        <v>33</v>
      </c>
      <c r="D60" s="335">
        <v>2228152.0471874801</v>
      </c>
      <c r="E60" s="335">
        <v>52</v>
      </c>
      <c r="F60" s="335">
        <v>1821730.9457871499</v>
      </c>
    </row>
    <row r="61" spans="1:6">
      <c r="A61" s="1260" t="s">
        <v>49</v>
      </c>
      <c r="B61" s="1260" t="s">
        <v>54</v>
      </c>
      <c r="C61" s="335">
        <v>84</v>
      </c>
      <c r="D61" s="335">
        <v>5491074.4772241702</v>
      </c>
      <c r="E61" s="335">
        <v>215</v>
      </c>
      <c r="F61" s="335">
        <v>3833743.08952086</v>
      </c>
    </row>
    <row r="62" spans="1:6">
      <c r="A62" s="1260" t="s">
        <v>49</v>
      </c>
      <c r="B62" s="1260" t="s">
        <v>55</v>
      </c>
      <c r="C62" s="335">
        <v>0</v>
      </c>
      <c r="D62" s="335">
        <v>0</v>
      </c>
      <c r="E62" s="335">
        <v>6</v>
      </c>
      <c r="F62" s="335">
        <v>64397.675455213001</v>
      </c>
    </row>
    <row r="63" spans="1:6">
      <c r="A63" s="1260" t="s">
        <v>49</v>
      </c>
      <c r="B63" s="1260" t="s">
        <v>29</v>
      </c>
      <c r="C63" s="335">
        <v>95</v>
      </c>
      <c r="D63" s="335">
        <v>4471129.7881631702</v>
      </c>
      <c r="E63" s="335">
        <v>90</v>
      </c>
      <c r="F63" s="335">
        <v>1172757.2019098201</v>
      </c>
    </row>
    <row r="64" spans="1:6">
      <c r="A64" s="1260" t="s">
        <v>56</v>
      </c>
      <c r="B64" s="1260" t="s">
        <v>57</v>
      </c>
      <c r="C64" s="335">
        <v>0</v>
      </c>
      <c r="D64" s="335">
        <v>0</v>
      </c>
      <c r="E64" s="335">
        <v>0</v>
      </c>
      <c r="F64" s="335">
        <v>0</v>
      </c>
    </row>
    <row r="65" spans="1:6">
      <c r="A65" s="1260" t="s">
        <v>56</v>
      </c>
      <c r="B65" s="1260" t="s">
        <v>29</v>
      </c>
      <c r="C65" s="335">
        <v>0</v>
      </c>
      <c r="D65" s="335">
        <v>0</v>
      </c>
      <c r="E65" s="335">
        <v>1</v>
      </c>
      <c r="F65" s="335">
        <v>20762.001871281002</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4</v>
      </c>
      <c r="F68" s="335">
        <v>35881.8623118213</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39551303</v>
      </c>
      <c r="E73" s="335">
        <v>44943609.244729981</v>
      </c>
    </row>
    <row r="74" spans="1:6">
      <c r="A74" s="1260" t="s">
        <v>64</v>
      </c>
      <c r="B74" s="1260" t="s">
        <v>772</v>
      </c>
      <c r="C74" s="1271" t="s">
        <v>766</v>
      </c>
      <c r="D74" s="335">
        <v>3179412.8240716141</v>
      </c>
      <c r="E74" s="335">
        <v>3610264.3322202535</v>
      </c>
    </row>
    <row r="75" spans="1:6">
      <c r="A75" s="1260" t="s">
        <v>65</v>
      </c>
      <c r="B75" s="1260" t="s">
        <v>771</v>
      </c>
      <c r="C75" s="1271" t="s">
        <v>767</v>
      </c>
      <c r="D75" s="335">
        <v>24680788</v>
      </c>
      <c r="E75" s="335">
        <v>26698144.968098987</v>
      </c>
    </row>
    <row r="76" spans="1:6">
      <c r="A76" s="1260" t="s">
        <v>65</v>
      </c>
      <c r="B76" s="1260" t="s">
        <v>772</v>
      </c>
      <c r="C76" s="1271" t="s">
        <v>768</v>
      </c>
      <c r="D76" s="335">
        <v>603814.82407161407</v>
      </c>
      <c r="E76" s="335">
        <v>645682.53483414184</v>
      </c>
    </row>
    <row r="77" spans="1:6">
      <c r="A77" s="1260" t="s">
        <v>66</v>
      </c>
      <c r="B77" s="1260" t="s">
        <v>771</v>
      </c>
      <c r="C77" s="1271" t="s">
        <v>769</v>
      </c>
      <c r="D77" s="335">
        <v>256449983</v>
      </c>
      <c r="E77" s="335">
        <v>284330821.51376706</v>
      </c>
    </row>
    <row r="78" spans="1:6">
      <c r="A78" s="1256" t="s">
        <v>66</v>
      </c>
      <c r="B78" s="1256" t="s">
        <v>772</v>
      </c>
      <c r="C78" s="1256" t="s">
        <v>770</v>
      </c>
      <c r="D78" s="1256">
        <v>60144887</v>
      </c>
      <c r="E78" s="1256">
        <v>68943959.143070653</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184006.35185677191</v>
      </c>
      <c r="C83" s="335">
        <v>176733.35513084475</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1718.7658906419983</v>
      </c>
    </row>
    <row r="92" spans="1:6">
      <c r="A92" s="1256" t="s">
        <v>69</v>
      </c>
      <c r="B92" s="338">
        <v>374.18312354000602</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1195</v>
      </c>
    </row>
    <row r="98" spans="1:6">
      <c r="A98" s="1260" t="s">
        <v>72</v>
      </c>
      <c r="B98" s="335">
        <v>0</v>
      </c>
    </row>
    <row r="99" spans="1:6">
      <c r="A99" s="1260" t="s">
        <v>73</v>
      </c>
      <c r="B99" s="335">
        <v>80</v>
      </c>
    </row>
    <row r="100" spans="1:6">
      <c r="A100" s="1260" t="s">
        <v>74</v>
      </c>
      <c r="B100" s="335">
        <v>447</v>
      </c>
    </row>
    <row r="101" spans="1:6">
      <c r="A101" s="1260" t="s">
        <v>75</v>
      </c>
      <c r="B101" s="335">
        <v>87</v>
      </c>
    </row>
    <row r="102" spans="1:6">
      <c r="A102" s="1260" t="s">
        <v>76</v>
      </c>
      <c r="B102" s="335">
        <v>66</v>
      </c>
    </row>
    <row r="103" spans="1:6">
      <c r="A103" s="1260" t="s">
        <v>77</v>
      </c>
      <c r="B103" s="335">
        <v>169</v>
      </c>
    </row>
    <row r="104" spans="1:6">
      <c r="A104" s="1260" t="s">
        <v>78</v>
      </c>
      <c r="B104" s="335">
        <v>1789</v>
      </c>
    </row>
    <row r="105" spans="1:6">
      <c r="A105" s="1256" t="s">
        <v>79</v>
      </c>
      <c r="B105" s="1256">
        <v>11</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11</v>
      </c>
      <c r="C123" s="335">
        <v>13</v>
      </c>
    </row>
    <row r="124" spans="1:6">
      <c r="A124" s="1256" t="s">
        <v>89</v>
      </c>
      <c r="B124" s="335">
        <v>1</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30</v>
      </c>
    </row>
    <row r="130" spans="1:6">
      <c r="A130" s="1260" t="s">
        <v>295</v>
      </c>
      <c r="B130" s="335">
        <v>0</v>
      </c>
    </row>
    <row r="131" spans="1:6">
      <c r="A131" s="1260" t="s">
        <v>296</v>
      </c>
      <c r="B131" s="335">
        <v>0</v>
      </c>
    </row>
    <row r="132" spans="1:6">
      <c r="A132" s="1256" t="s">
        <v>297</v>
      </c>
      <c r="B132" s="338">
        <v>3</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37641.951492431865</v>
      </c>
      <c r="C3" s="44" t="s">
        <v>170</v>
      </c>
      <c r="D3" s="44"/>
      <c r="E3" s="157"/>
      <c r="F3" s="44"/>
      <c r="G3" s="44"/>
      <c r="H3" s="44"/>
      <c r="I3" s="44"/>
      <c r="J3" s="44"/>
      <c r="K3" s="97"/>
    </row>
    <row r="4" spans="1:11">
      <c r="A4" s="365" t="s">
        <v>171</v>
      </c>
      <c r="B4" s="50">
        <f>IF(ISERROR('SEAP template'!B69),0,'SEAP template'!B69)</f>
        <v>2092.9490141820042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0.20871206821656896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831.76300000000003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831.76300000000003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0.20871206821656896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173.59897599601805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21505.421931320499</v>
      </c>
      <c r="C5" s="18">
        <f>IF(ISERROR('Eigen informatie GS &amp; warmtenet'!B57),0,'Eigen informatie GS &amp; warmtenet'!B57)</f>
        <v>0</v>
      </c>
      <c r="D5" s="31">
        <f>(SUM(HH_hh_gas_kWh,HH_rest_gas_kWh)/1000)*0.902</f>
        <v>36956.525724920059</v>
      </c>
      <c r="E5" s="18">
        <f>B46*B57</f>
        <v>3086.5357988941387</v>
      </c>
      <c r="F5" s="18">
        <f>B51*B62</f>
        <v>18739.072156152481</v>
      </c>
      <c r="G5" s="19"/>
      <c r="H5" s="18"/>
      <c r="I5" s="18"/>
      <c r="J5" s="18">
        <f>B50*B61+C50*C61</f>
        <v>2388.8663247883132</v>
      </c>
      <c r="K5" s="18"/>
      <c r="L5" s="18"/>
      <c r="M5" s="18"/>
      <c r="N5" s="18">
        <f>B48*B59+C48*C59</f>
        <v>10900.725879648424</v>
      </c>
      <c r="O5" s="18">
        <f>B69*B70*B71</f>
        <v>67.223333333333329</v>
      </c>
      <c r="P5" s="18">
        <f>B77*B78*B79/1000-B77*B78*B79/1000/B80</f>
        <v>286</v>
      </c>
    </row>
    <row r="6" spans="1:16">
      <c r="A6" s="17" t="s">
        <v>639</v>
      </c>
      <c r="B6" s="831">
        <f>kWh_PV_kleiner_dan_10kW</f>
        <v>1718.7658906419983</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23224.1878219625</v>
      </c>
      <c r="C8" s="22">
        <f>C5</f>
        <v>0</v>
      </c>
      <c r="D8" s="22">
        <f>D5</f>
        <v>36956.525724920059</v>
      </c>
      <c r="E8" s="22">
        <f>E5</f>
        <v>3086.5357988941387</v>
      </c>
      <c r="F8" s="22">
        <f>F5</f>
        <v>18739.072156152481</v>
      </c>
      <c r="G8" s="22"/>
      <c r="H8" s="22"/>
      <c r="I8" s="22"/>
      <c r="J8" s="22">
        <f>J5</f>
        <v>2388.8663247883132</v>
      </c>
      <c r="K8" s="22"/>
      <c r="L8" s="22">
        <f>L5</f>
        <v>0</v>
      </c>
      <c r="M8" s="22">
        <f>M5</f>
        <v>0</v>
      </c>
      <c r="N8" s="22">
        <f>N5</f>
        <v>10900.725879648424</v>
      </c>
      <c r="O8" s="22">
        <f>O5</f>
        <v>67.223333333333329</v>
      </c>
      <c r="P8" s="22">
        <f>P5</f>
        <v>286</v>
      </c>
    </row>
    <row r="9" spans="1:16">
      <c r="B9" s="20"/>
      <c r="C9" s="20"/>
      <c r="D9" s="262"/>
      <c r="E9" s="20"/>
      <c r="F9" s="20"/>
      <c r="G9" s="20"/>
      <c r="H9" s="20"/>
      <c r="I9" s="20"/>
      <c r="J9" s="20"/>
      <c r="K9" s="20"/>
      <c r="L9" s="20"/>
      <c r="M9" s="20"/>
      <c r="N9" s="20"/>
      <c r="O9" s="20"/>
      <c r="P9" s="20"/>
    </row>
    <row r="10" spans="1:16">
      <c r="A10" s="25" t="s">
        <v>214</v>
      </c>
      <c r="B10" s="26">
        <f ca="1">'EF ele_warmte'!B12</f>
        <v>0.20871206821656896</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4847.1682729718468</v>
      </c>
      <c r="C12" s="24">
        <f ca="1">C10*C8</f>
        <v>0</v>
      </c>
      <c r="D12" s="24">
        <f>D8*D10</f>
        <v>7465.2181964338524</v>
      </c>
      <c r="E12" s="24">
        <f>E10*E8</f>
        <v>700.64362634896952</v>
      </c>
      <c r="F12" s="24">
        <f>F10*F8</f>
        <v>5003.332265692713</v>
      </c>
      <c r="G12" s="24"/>
      <c r="H12" s="24"/>
      <c r="I12" s="24"/>
      <c r="J12" s="24">
        <f>J10*J8</f>
        <v>845.6586789750628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1195</v>
      </c>
      <c r="C18" s="169" t="s">
        <v>111</v>
      </c>
      <c r="D18" s="231"/>
      <c r="E18" s="16"/>
    </row>
    <row r="19" spans="1:7">
      <c r="A19" s="174" t="s">
        <v>72</v>
      </c>
      <c r="B19" s="38">
        <f>aantalw2001_ander</f>
        <v>0</v>
      </c>
      <c r="C19" s="169" t="s">
        <v>111</v>
      </c>
      <c r="D19" s="232"/>
      <c r="E19" s="16"/>
    </row>
    <row r="20" spans="1:7">
      <c r="A20" s="174" t="s">
        <v>73</v>
      </c>
      <c r="B20" s="38">
        <f>aantalw2001_propaan</f>
        <v>80</v>
      </c>
      <c r="C20" s="170">
        <f>IF(ISERROR(B20/SUM($B$20,$B$21,$B$22)*100),0,B20/SUM($B$20,$B$21,$B$22)*100)</f>
        <v>13.029315960912053</v>
      </c>
      <c r="D20" s="232"/>
      <c r="E20" s="16"/>
    </row>
    <row r="21" spans="1:7">
      <c r="A21" s="174" t="s">
        <v>74</v>
      </c>
      <c r="B21" s="38">
        <f>aantalw2001_elektriciteit</f>
        <v>447</v>
      </c>
      <c r="C21" s="170">
        <f>IF(ISERROR(B21/SUM($B$20,$B$21,$B$22)*100),0,B21/SUM($B$20,$B$21,$B$22)*100)</f>
        <v>72.801302931596084</v>
      </c>
      <c r="D21" s="232"/>
      <c r="E21" s="16"/>
    </row>
    <row r="22" spans="1:7">
      <c r="A22" s="174" t="s">
        <v>75</v>
      </c>
      <c r="B22" s="38">
        <f>aantalw2001_hout</f>
        <v>87</v>
      </c>
      <c r="C22" s="170">
        <f>IF(ISERROR(B22/SUM($B$20,$B$21,$B$22)*100),0,B22/SUM($B$20,$B$21,$B$22)*100)</f>
        <v>14.169381107491857</v>
      </c>
      <c r="D22" s="232"/>
      <c r="E22" s="16"/>
    </row>
    <row r="23" spans="1:7">
      <c r="A23" s="174" t="s">
        <v>76</v>
      </c>
      <c r="B23" s="38">
        <f>aantalw2001_niet_gespec</f>
        <v>66</v>
      </c>
      <c r="C23" s="169" t="s">
        <v>111</v>
      </c>
      <c r="D23" s="231"/>
      <c r="E23" s="16"/>
    </row>
    <row r="24" spans="1:7">
      <c r="A24" s="174" t="s">
        <v>77</v>
      </c>
      <c r="B24" s="38">
        <f>aantalw2001_steenkool</f>
        <v>169</v>
      </c>
      <c r="C24" s="169" t="s">
        <v>111</v>
      </c>
      <c r="D24" s="232"/>
      <c r="E24" s="16"/>
    </row>
    <row r="25" spans="1:7">
      <c r="A25" s="174" t="s">
        <v>78</v>
      </c>
      <c r="B25" s="38">
        <f>aantalw2001_stookolie</f>
        <v>1789</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4243</v>
      </c>
      <c r="C28" s="37"/>
      <c r="D28" s="231"/>
    </row>
    <row r="29" spans="1:7" s="16" customFormat="1">
      <c r="A29" s="233" t="s">
        <v>666</v>
      </c>
      <c r="B29" s="38">
        <f>SUM(HH_hh_gas_aantal,HH_rest_gas_aantal)</f>
        <v>2128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2128</v>
      </c>
      <c r="C32" s="170">
        <f>IF(ISERROR(B32/SUM($B$32,$B$34,$B$35,$B$36,$B$38,$B$39)*100),0,B32/SUM($B$32,$B$34,$B$35,$B$36,$B$38,$B$39)*100)</f>
        <v>50.331125827814574</v>
      </c>
      <c r="D32" s="236"/>
      <c r="G32" s="16"/>
    </row>
    <row r="33" spans="1:7">
      <c r="A33" s="174" t="s">
        <v>72</v>
      </c>
      <c r="B33" s="35" t="s">
        <v>111</v>
      </c>
      <c r="C33" s="170"/>
      <c r="D33" s="236"/>
      <c r="G33" s="16"/>
    </row>
    <row r="34" spans="1:7">
      <c r="A34" s="174" t="s">
        <v>73</v>
      </c>
      <c r="B34" s="34">
        <f>IF((($B$28-$B$32-$B$39-$B$77-$B$38)*C20/100)&lt;0,0,($B$28-$B$32-$B$39-$B$77-$B$38)*C20/100)</f>
        <v>140.06514657980458</v>
      </c>
      <c r="C34" s="170">
        <f>IF(ISERROR(B34/SUM($B$32,$B$34,$B$35,$B$36,$B$38,$B$39)*100),0,B34/SUM($B$32,$B$34,$B$35,$B$36,$B$38,$B$39)*100)</f>
        <v>3.3127991149433442</v>
      </c>
      <c r="D34" s="236"/>
      <c r="G34" s="16"/>
    </row>
    <row r="35" spans="1:7">
      <c r="A35" s="174" t="s">
        <v>74</v>
      </c>
      <c r="B35" s="34">
        <f>IF((($B$28-$B$32-$B$39-$B$77-$B$38)*C21/100)&lt;0,0,($B$28-$B$32-$B$39-$B$77-$B$38)*C21/100)</f>
        <v>782.61400651465794</v>
      </c>
      <c r="C35" s="170">
        <f>IF(ISERROR(B35/SUM($B$32,$B$34,$B$35,$B$36,$B$38,$B$39)*100),0,B35/SUM($B$32,$B$34,$B$35,$B$36,$B$38,$B$39)*100)</f>
        <v>18.510265054745929</v>
      </c>
      <c r="D35" s="236"/>
      <c r="G35" s="16"/>
    </row>
    <row r="36" spans="1:7">
      <c r="A36" s="174" t="s">
        <v>75</v>
      </c>
      <c r="B36" s="34">
        <f>IF((($B$28-$B$32-$B$39-$B$77-$B$38)*C22/100)&lt;0,0,($B$28-$B$32-$B$39-$B$77-$B$38)*C22/100)</f>
        <v>152.32084690553745</v>
      </c>
      <c r="C36" s="170">
        <f>IF(ISERROR(B36/SUM($B$32,$B$34,$B$35,$B$36,$B$38,$B$39)*100),0,B36/SUM($B$32,$B$34,$B$35,$B$36,$B$38,$B$39)*100)</f>
        <v>3.6026690375008856</v>
      </c>
      <c r="D36" s="236"/>
      <c r="G36" s="16"/>
    </row>
    <row r="37" spans="1:7">
      <c r="A37" s="174" t="s">
        <v>76</v>
      </c>
      <c r="B37" s="35" t="s">
        <v>111</v>
      </c>
      <c r="C37" s="170"/>
      <c r="D37" s="176"/>
      <c r="G37" s="16"/>
    </row>
    <row r="38" spans="1:7">
      <c r="A38" s="174" t="s">
        <v>77</v>
      </c>
      <c r="B38" s="34">
        <f>IF((B24-(B29-B18)*0.1)&lt;0,0,B24-(B29-B18)*0.1)</f>
        <v>75.699999999999989</v>
      </c>
      <c r="C38" s="170">
        <f>IF(ISERROR(B38/SUM($B$32,$B$34,$B$35,$B$36,$B$38,$B$39)*100),0,B38/SUM($B$32,$B$34,$B$35,$B$36,$B$38,$B$39)*100)</f>
        <v>1.790444654683065</v>
      </c>
      <c r="D38" s="237"/>
      <c r="G38" s="16"/>
    </row>
    <row r="39" spans="1:7">
      <c r="A39" s="174" t="s">
        <v>78</v>
      </c>
      <c r="B39" s="34">
        <f>IF((B25-(B29-B18))&lt;0,0,B25-(B29-B18)*0.9)</f>
        <v>949.3</v>
      </c>
      <c r="C39" s="170">
        <f>IF(ISERROR(B39/SUM($B$32,$B$34,$B$35,$B$36,$B$38,$B$39)*100),0,B39/SUM($B$32,$B$34,$B$35,$B$36,$B$38,$B$39)*100)</f>
        <v>22.452696310312202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2128</v>
      </c>
      <c r="C44" s="35" t="s">
        <v>111</v>
      </c>
      <c r="D44" s="177"/>
    </row>
    <row r="45" spans="1:7">
      <c r="A45" s="174" t="s">
        <v>72</v>
      </c>
      <c r="B45" s="34" t="str">
        <f t="shared" si="0"/>
        <v>-</v>
      </c>
      <c r="C45" s="35" t="s">
        <v>111</v>
      </c>
      <c r="D45" s="177"/>
    </row>
    <row r="46" spans="1:7">
      <c r="A46" s="174" t="s">
        <v>73</v>
      </c>
      <c r="B46" s="34">
        <f t="shared" si="0"/>
        <v>140.06514657980458</v>
      </c>
      <c r="C46" s="35" t="s">
        <v>111</v>
      </c>
      <c r="D46" s="177"/>
    </row>
    <row r="47" spans="1:7">
      <c r="A47" s="174" t="s">
        <v>74</v>
      </c>
      <c r="B47" s="34">
        <f t="shared" si="0"/>
        <v>782.61400651465794</v>
      </c>
      <c r="C47" s="35" t="s">
        <v>111</v>
      </c>
      <c r="D47" s="177"/>
    </row>
    <row r="48" spans="1:7">
      <c r="A48" s="174" t="s">
        <v>75</v>
      </c>
      <c r="B48" s="34">
        <f t="shared" si="0"/>
        <v>152.32084690553745</v>
      </c>
      <c r="C48" s="34">
        <f>B48*10</f>
        <v>1523.2084690553745</v>
      </c>
      <c r="D48" s="237"/>
    </row>
    <row r="49" spans="1:6">
      <c r="A49" s="174" t="s">
        <v>76</v>
      </c>
      <c r="B49" s="34" t="str">
        <f t="shared" si="0"/>
        <v>-</v>
      </c>
      <c r="C49" s="35" t="s">
        <v>111</v>
      </c>
      <c r="D49" s="237"/>
    </row>
    <row r="50" spans="1:6">
      <c r="A50" s="174" t="s">
        <v>77</v>
      </c>
      <c r="B50" s="34">
        <f t="shared" si="0"/>
        <v>75.699999999999989</v>
      </c>
      <c r="C50" s="34">
        <f>B50*2</f>
        <v>151.39999999999998</v>
      </c>
      <c r="D50" s="237"/>
    </row>
    <row r="51" spans="1:6">
      <c r="A51" s="174" t="s">
        <v>78</v>
      </c>
      <c r="B51" s="34">
        <f t="shared" si="0"/>
        <v>949.3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10768.503697985454</v>
      </c>
      <c r="C5" s="18">
        <f>IF(ISERROR('Eigen informatie GS &amp; warmtenet'!B58),0,'Eigen informatie GS &amp; warmtenet'!B58)</f>
        <v>0</v>
      </c>
      <c r="D5" s="31">
        <f>SUM(D6:D12)</f>
        <v>14182.997919806236</v>
      </c>
      <c r="E5" s="18">
        <f>SUM(E6:E12)</f>
        <v>132.90256887980351</v>
      </c>
      <c r="F5" s="18">
        <f>SUM(F6:F12)</f>
        <v>2073.9313529534338</v>
      </c>
      <c r="G5" s="19"/>
      <c r="H5" s="18"/>
      <c r="I5" s="18"/>
      <c r="J5" s="18">
        <f>SUM(J6:J12)</f>
        <v>0</v>
      </c>
      <c r="K5" s="18"/>
      <c r="L5" s="18"/>
      <c r="M5" s="18"/>
      <c r="N5" s="18">
        <f>SUM(N6:N12)</f>
        <v>707.82719439205596</v>
      </c>
      <c r="O5" s="18">
        <f>B38*B39*B40</f>
        <v>0</v>
      </c>
      <c r="P5" s="18">
        <f>B46*B47*B48/1000-B46*B47*B48/1000/B49</f>
        <v>0</v>
      </c>
      <c r="R5" s="33"/>
    </row>
    <row r="6" spans="1:18">
      <c r="A6" s="33" t="s">
        <v>54</v>
      </c>
      <c r="B6" s="38">
        <f>B26</f>
        <v>3833.7430895208599</v>
      </c>
      <c r="C6" s="34"/>
      <c r="D6" s="38">
        <f>IF(ISERROR(TER_kantoor_gas_kWh/1000),0,TER_kantoor_gas_kWh/1000)*0.902</f>
        <v>4952.9491784562024</v>
      </c>
      <c r="E6" s="34">
        <f>$C$26*'E Balans VL '!I12/100/3.6*1000000</f>
        <v>6.2919494170391683</v>
      </c>
      <c r="F6" s="34">
        <f>$C$26*('E Balans VL '!L12+'E Balans VL '!N12)/100/3.6*1000000</f>
        <v>451.90810717804993</v>
      </c>
      <c r="G6" s="35"/>
      <c r="H6" s="34"/>
      <c r="I6" s="34"/>
      <c r="J6" s="34">
        <f>$C$26*('E Balans VL '!D12+'E Balans VL '!E12)/100/3.6*1000000</f>
        <v>0</v>
      </c>
      <c r="K6" s="34"/>
      <c r="L6" s="34"/>
      <c r="M6" s="34"/>
      <c r="N6" s="34">
        <f>$C$26*'E Balans VL '!Y12/100/3.6*1000000</f>
        <v>0.77458963697791883</v>
      </c>
      <c r="O6" s="34"/>
      <c r="P6" s="34"/>
      <c r="R6" s="33"/>
    </row>
    <row r="7" spans="1:18">
      <c r="A7" s="33" t="s">
        <v>53</v>
      </c>
      <c r="B7" s="38">
        <f t="shared" ref="B7:B12" si="0">B27</f>
        <v>1821.7309457871499</v>
      </c>
      <c r="C7" s="34"/>
      <c r="D7" s="38">
        <f>IF(ISERROR(TER_horeca_gas_kWh/1000),0,TER_horeca_gas_kWh/1000)*0.902</f>
        <v>2009.793146563107</v>
      </c>
      <c r="E7" s="34">
        <f>$C$27*'E Balans VL '!I9/100/3.6*1000000</f>
        <v>94.534653759138109</v>
      </c>
      <c r="F7" s="34">
        <f>$C$27*('E Balans VL '!L9+'E Balans VL '!N9)/100/3.6*1000000</f>
        <v>415.72032368315331</v>
      </c>
      <c r="G7" s="35"/>
      <c r="H7" s="34"/>
      <c r="I7" s="34"/>
      <c r="J7" s="34">
        <f>$C$27*('E Balans VL '!D9+'E Balans VL '!E9)/100/3.6*1000000</f>
        <v>0</v>
      </c>
      <c r="K7" s="34"/>
      <c r="L7" s="34"/>
      <c r="M7" s="34"/>
      <c r="N7" s="34">
        <f>$C$27*'E Balans VL '!Y9/100/3.6*1000000</f>
        <v>0.19237395303049507</v>
      </c>
      <c r="O7" s="34"/>
      <c r="P7" s="34"/>
      <c r="R7" s="33"/>
    </row>
    <row r="8" spans="1:18">
      <c r="A8" s="6" t="s">
        <v>52</v>
      </c>
      <c r="B8" s="38">
        <f t="shared" si="0"/>
        <v>2369.1721439140902</v>
      </c>
      <c r="C8" s="34"/>
      <c r="D8" s="38">
        <f>IF(ISERROR(TER_handel_gas_kWh/1000),0,TER_handel_gas_kWh/1000)*0.902</f>
        <v>750.16975735509391</v>
      </c>
      <c r="E8" s="34">
        <f>$C$28*'E Balans VL '!I13/100/3.6*1000000</f>
        <v>12.758283127539219</v>
      </c>
      <c r="F8" s="34">
        <f>$C$28*('E Balans VL '!L13+'E Balans VL '!N13)/100/3.6*1000000</f>
        <v>483.14460559900874</v>
      </c>
      <c r="G8" s="35"/>
      <c r="H8" s="34"/>
      <c r="I8" s="34"/>
      <c r="J8" s="34">
        <f>$C$28*('E Balans VL '!D13+'E Balans VL '!E13)/100/3.6*1000000</f>
        <v>0</v>
      </c>
      <c r="K8" s="34"/>
      <c r="L8" s="34"/>
      <c r="M8" s="34"/>
      <c r="N8" s="34">
        <f>$C$28*'E Balans VL '!Y13/100/3.6*1000000</f>
        <v>11.780641947721</v>
      </c>
      <c r="O8" s="34"/>
      <c r="P8" s="34"/>
      <c r="R8" s="33"/>
    </row>
    <row r="9" spans="1:18">
      <c r="A9" s="33" t="s">
        <v>51</v>
      </c>
      <c r="B9" s="38">
        <f t="shared" si="0"/>
        <v>442.471479855219</v>
      </c>
      <c r="C9" s="34"/>
      <c r="D9" s="38">
        <f>IF(ISERROR(TER_gezond_gas_kWh/1000),0,TER_gezond_gas_kWh/1000)*0.902</f>
        <v>2099.4450160527367</v>
      </c>
      <c r="E9" s="34">
        <f>$C$29*'E Balans VL '!I10/100/3.6*1000000</f>
        <v>0.43849426830136651</v>
      </c>
      <c r="F9" s="34">
        <f>$C$29*('E Balans VL '!L10+'E Balans VL '!N10)/100/3.6*1000000</f>
        <v>153.52484975864365</v>
      </c>
      <c r="G9" s="35"/>
      <c r="H9" s="34"/>
      <c r="I9" s="34"/>
      <c r="J9" s="34">
        <f>$C$29*('E Balans VL '!D10+'E Balans VL '!E10)/100/3.6*1000000</f>
        <v>0</v>
      </c>
      <c r="K9" s="34"/>
      <c r="L9" s="34"/>
      <c r="M9" s="34"/>
      <c r="N9" s="34">
        <f>$C$29*'E Balans VL '!Y10/100/3.6*1000000</f>
        <v>3.8127384107918942</v>
      </c>
      <c r="O9" s="34"/>
      <c r="P9" s="34"/>
      <c r="R9" s="33"/>
    </row>
    <row r="10" spans="1:18">
      <c r="A10" s="33" t="s">
        <v>50</v>
      </c>
      <c r="B10" s="38">
        <f t="shared" si="0"/>
        <v>1064.2311615430999</v>
      </c>
      <c r="C10" s="34"/>
      <c r="D10" s="38">
        <f>IF(ISERROR(TER_ander_gas_kWh/1000),0,TER_ander_gas_kWh/1000)*0.902</f>
        <v>337.68175245591738</v>
      </c>
      <c r="E10" s="34">
        <f>$C$30*'E Balans VL '!I14/100/3.6*1000000</f>
        <v>8.7064745247195674</v>
      </c>
      <c r="F10" s="34">
        <f>$C$30*('E Balans VL '!L14+'E Balans VL '!N14)/100/3.6*1000000</f>
        <v>311.13786499017806</v>
      </c>
      <c r="G10" s="35"/>
      <c r="H10" s="34"/>
      <c r="I10" s="34"/>
      <c r="J10" s="34">
        <f>$C$30*('E Balans VL '!D14+'E Balans VL '!E14)/100/3.6*1000000</f>
        <v>0</v>
      </c>
      <c r="K10" s="34"/>
      <c r="L10" s="34"/>
      <c r="M10" s="34"/>
      <c r="N10" s="34">
        <f>$C$30*'E Balans VL '!Y14/100/3.6*1000000</f>
        <v>613.9217412832628</v>
      </c>
      <c r="O10" s="34"/>
      <c r="P10" s="34"/>
      <c r="R10" s="33"/>
    </row>
    <row r="11" spans="1:18">
      <c r="A11" s="33" t="s">
        <v>55</v>
      </c>
      <c r="B11" s="38">
        <f t="shared" si="0"/>
        <v>64.397675455213005</v>
      </c>
      <c r="C11" s="34"/>
      <c r="D11" s="38">
        <f>IF(ISERROR(TER_onderwijs_gas_kWh/1000),0,TER_onderwijs_gas_kWh/1000)*0.902</f>
        <v>0</v>
      </c>
      <c r="E11" s="34">
        <f>$C$31*'E Balans VL '!I11/100/3.6*1000000</f>
        <v>3.9692009942896511E-2</v>
      </c>
      <c r="F11" s="34">
        <f>$C$31*('E Balans VL '!L11+'E Balans VL '!N11)/100/3.6*1000000</f>
        <v>24.897184230043983</v>
      </c>
      <c r="G11" s="35"/>
      <c r="H11" s="34"/>
      <c r="I11" s="34"/>
      <c r="J11" s="34">
        <f>$C$31*('E Balans VL '!D11+'E Balans VL '!E11)/100/3.6*1000000</f>
        <v>0</v>
      </c>
      <c r="K11" s="34"/>
      <c r="L11" s="34"/>
      <c r="M11" s="34"/>
      <c r="N11" s="34">
        <f>$C$31*'E Balans VL '!Y11/100/3.6*1000000</f>
        <v>0.20947183812861042</v>
      </c>
      <c r="O11" s="34"/>
      <c r="P11" s="34"/>
      <c r="R11" s="33"/>
    </row>
    <row r="12" spans="1:18">
      <c r="A12" s="33" t="s">
        <v>260</v>
      </c>
      <c r="B12" s="38">
        <f t="shared" si="0"/>
        <v>1172.7572019098202</v>
      </c>
      <c r="C12" s="34"/>
      <c r="D12" s="38">
        <f>IF(ISERROR(TER_rest_gas_kWh/1000),0,TER_rest_gas_kWh/1000)*0.902</f>
        <v>4032.9590689231795</v>
      </c>
      <c r="E12" s="34">
        <f>$C$32*'E Balans VL '!I8/100/3.6*1000000</f>
        <v>10.133021773123202</v>
      </c>
      <c r="F12" s="34">
        <f>$C$32*('E Balans VL '!L8+'E Balans VL '!N8)/100/3.6*1000000</f>
        <v>233.59841751435621</v>
      </c>
      <c r="G12" s="35"/>
      <c r="H12" s="34"/>
      <c r="I12" s="34"/>
      <c r="J12" s="34">
        <f>$C$32*('E Balans VL '!D8+'E Balans VL '!E8)/100/3.6*1000000</f>
        <v>0</v>
      </c>
      <c r="K12" s="34"/>
      <c r="L12" s="34"/>
      <c r="M12" s="34"/>
      <c r="N12" s="34">
        <f>$C$32*'E Balans VL '!Y8/100/3.6*1000000</f>
        <v>77.135637322143211</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10768.503697985454</v>
      </c>
      <c r="C16" s="22">
        <f t="shared" ca="1" si="1"/>
        <v>0</v>
      </c>
      <c r="D16" s="22">
        <f t="shared" ca="1" si="1"/>
        <v>14182.997919806236</v>
      </c>
      <c r="E16" s="22">
        <f t="shared" si="1"/>
        <v>132.90256887980351</v>
      </c>
      <c r="F16" s="22">
        <f t="shared" ca="1" si="1"/>
        <v>2073.9313529534338</v>
      </c>
      <c r="G16" s="22">
        <f t="shared" si="1"/>
        <v>0</v>
      </c>
      <c r="H16" s="22">
        <f t="shared" si="1"/>
        <v>0</v>
      </c>
      <c r="I16" s="22">
        <f t="shared" si="1"/>
        <v>0</v>
      </c>
      <c r="J16" s="22">
        <f t="shared" si="1"/>
        <v>0</v>
      </c>
      <c r="K16" s="22">
        <f t="shared" si="1"/>
        <v>0</v>
      </c>
      <c r="L16" s="22">
        <f t="shared" ca="1" si="1"/>
        <v>0</v>
      </c>
      <c r="M16" s="22">
        <f t="shared" si="1"/>
        <v>0</v>
      </c>
      <c r="N16" s="22">
        <f t="shared" ca="1" si="1"/>
        <v>707.82719439205596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0.20871206821656896</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2247.5166784043154</v>
      </c>
      <c r="C20" s="24">
        <f t="shared" ref="C20:P20" ca="1" si="2">C16*C18</f>
        <v>0</v>
      </c>
      <c r="D20" s="24">
        <f t="shared" ca="1" si="2"/>
        <v>2864.9655798008598</v>
      </c>
      <c r="E20" s="24">
        <f t="shared" si="2"/>
        <v>30.168883135715397</v>
      </c>
      <c r="F20" s="24">
        <f t="shared" ca="1" si="2"/>
        <v>553.73967123856687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3833.7430895208599</v>
      </c>
      <c r="C26" s="40">
        <f>IF(ISERROR(B26*3.6/1000000/'E Balans VL '!Z12*100),0,B26*3.6/1000000/'E Balans VL '!Z12*100)</f>
        <v>8.1464291356135213E-2</v>
      </c>
      <c r="D26" s="240" t="s">
        <v>707</v>
      </c>
      <c r="F26" s="6"/>
    </row>
    <row r="27" spans="1:18">
      <c r="A27" s="234" t="s">
        <v>53</v>
      </c>
      <c r="B27" s="34">
        <f>IF(ISERROR(TER_horeca_ele_kWh/1000),0,TER_horeca_ele_kWh/1000)</f>
        <v>1821.7309457871499</v>
      </c>
      <c r="C27" s="40">
        <f>IF(ISERROR(B27*3.6/1000000/'E Balans VL '!Z9*100),0,B27*3.6/1000000/'E Balans VL '!Z9*100)</f>
        <v>0.14338431281776032</v>
      </c>
      <c r="D27" s="240" t="s">
        <v>707</v>
      </c>
      <c r="F27" s="6"/>
    </row>
    <row r="28" spans="1:18">
      <c r="A28" s="174" t="s">
        <v>52</v>
      </c>
      <c r="B28" s="34">
        <f>IF(ISERROR(TER_handel_ele_kWh/1000),0,TER_handel_ele_kWh/1000)</f>
        <v>2369.1721439140902</v>
      </c>
      <c r="C28" s="40">
        <f>IF(ISERROR(B28*3.6/1000000/'E Balans VL '!Z13*100),0,B28*3.6/1000000/'E Balans VL '!Z13*100)</f>
        <v>6.6361779681907554E-2</v>
      </c>
      <c r="D28" s="240" t="s">
        <v>707</v>
      </c>
      <c r="F28" s="6"/>
    </row>
    <row r="29" spans="1:18">
      <c r="A29" s="234" t="s">
        <v>51</v>
      </c>
      <c r="B29" s="34">
        <f>IF(ISERROR(TER_gezond_ele_kWh/1000),0,TER_gezond_ele_kWh/1000)</f>
        <v>442.471479855219</v>
      </c>
      <c r="C29" s="40">
        <f>IF(ISERROR(B29*3.6/1000000/'E Balans VL '!Z10*100),0,B29*3.6/1000000/'E Balans VL '!Z10*100)</f>
        <v>5.6605482072170088E-2</v>
      </c>
      <c r="D29" s="240" t="s">
        <v>707</v>
      </c>
      <c r="F29" s="6"/>
    </row>
    <row r="30" spans="1:18">
      <c r="A30" s="234" t="s">
        <v>50</v>
      </c>
      <c r="B30" s="34">
        <f>IF(ISERROR(TER_ander_ele_kWh/1000),0,TER_ander_ele_kWh/1000)</f>
        <v>1064.2311615430999</v>
      </c>
      <c r="C30" s="40">
        <f>IF(ISERROR(B30*3.6/1000000/'E Balans VL '!Z14*100),0,B30*3.6/1000000/'E Balans VL '!Z14*100)</f>
        <v>7.959552351500665E-2</v>
      </c>
      <c r="D30" s="240" t="s">
        <v>707</v>
      </c>
      <c r="F30" s="6"/>
    </row>
    <row r="31" spans="1:18">
      <c r="A31" s="234" t="s">
        <v>55</v>
      </c>
      <c r="B31" s="34">
        <f>IF(ISERROR(TER_onderwijs_ele_kWh/1000),0,TER_onderwijs_ele_kWh/1000)</f>
        <v>64.397675455213005</v>
      </c>
      <c r="C31" s="40">
        <f>IF(ISERROR(B31*3.6/1000000/'E Balans VL '!Z11*100),0,B31*3.6/1000000/'E Balans VL '!Z11*100)</f>
        <v>1.3597652588679678E-2</v>
      </c>
      <c r="D31" s="240" t="s">
        <v>707</v>
      </c>
    </row>
    <row r="32" spans="1:18">
      <c r="A32" s="234" t="s">
        <v>260</v>
      </c>
      <c r="B32" s="34">
        <f>IF(ISERROR(TER_rest_ele_kWh/1000),0,TER_rest_ele_kWh/1000)</f>
        <v>1172.7572019098202</v>
      </c>
      <c r="C32" s="40">
        <f>IF(ISERROR(B32*3.6/1000000/'E Balans VL '!Z8*100),0,B32*3.6/1000000/'E Balans VL '!Z8*100)</f>
        <v>9.6610941585882088E-3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1728.7901167479808</v>
      </c>
      <c r="C5" s="18">
        <f>IF(ISERROR('Eigen informatie GS &amp; warmtenet'!B59),0,'Eigen informatie GS &amp; warmtenet'!B59)</f>
        <v>0</v>
      </c>
      <c r="D5" s="31">
        <f>SUM(D6:D15)</f>
        <v>1027.0522266139333</v>
      </c>
      <c r="E5" s="18">
        <f>SUM(E6:E15)</f>
        <v>16.61487738514024</v>
      </c>
      <c r="F5" s="18">
        <f>SUM(F6:F15)</f>
        <v>675.25432862381422</v>
      </c>
      <c r="G5" s="19"/>
      <c r="H5" s="18"/>
      <c r="I5" s="18"/>
      <c r="J5" s="18">
        <f>SUM(J6:J15)</f>
        <v>3.9039000399182151</v>
      </c>
      <c r="K5" s="18"/>
      <c r="L5" s="18"/>
      <c r="M5" s="18"/>
      <c r="N5" s="18">
        <f>SUM(N6:N15)</f>
        <v>66.805603942855285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41.370351641622804</v>
      </c>
      <c r="C8" s="34"/>
      <c r="D8" s="38">
        <f>IF( ISERROR(IND_metaal_Gas_kWH/1000),0,IND_metaal_Gas_kWH/1000)*0.902</f>
        <v>0</v>
      </c>
      <c r="E8" s="34">
        <f>C30*'E Balans VL '!I18/100/3.6*1000000</f>
        <v>0.37675233695178573</v>
      </c>
      <c r="F8" s="34">
        <f>C30*'E Balans VL '!L18/100/3.6*1000000+C30*'E Balans VL '!N18/100/3.6*1000000</f>
        <v>5.45643520968361</v>
      </c>
      <c r="G8" s="35"/>
      <c r="H8" s="34"/>
      <c r="I8" s="34"/>
      <c r="J8" s="41">
        <f>C30*'E Balans VL '!D18/100/3.6*1000000+C30*'E Balans VL '!E18/100/3.6*1000000</f>
        <v>0.67841369933499929</v>
      </c>
      <c r="K8" s="34"/>
      <c r="L8" s="34"/>
      <c r="M8" s="34"/>
      <c r="N8" s="34">
        <f>C30*'E Balans VL '!Y18/100/3.6*1000000</f>
        <v>0.14217346426222516</v>
      </c>
      <c r="O8" s="34"/>
      <c r="P8" s="34"/>
      <c r="R8" s="33"/>
    </row>
    <row r="9" spans="1:18">
      <c r="A9" s="6" t="s">
        <v>33</v>
      </c>
      <c r="B9" s="38">
        <f t="shared" si="0"/>
        <v>613.40571048576305</v>
      </c>
      <c r="C9" s="34"/>
      <c r="D9" s="38">
        <f>IF( ISERROR(IND_andere_gas_kWh/1000),0,IND_andere_gas_kWh/1000)*0.902</f>
        <v>556.5262606225233</v>
      </c>
      <c r="E9" s="34">
        <f>C31*'E Balans VL '!I19/100/3.6*1000000</f>
        <v>3.5455766725091822</v>
      </c>
      <c r="F9" s="34">
        <f>C31*'E Balans VL '!L19/100/3.6*1000000+C31*'E Balans VL '!N19/100/3.6*1000000</f>
        <v>487.9937586062253</v>
      </c>
      <c r="G9" s="35"/>
      <c r="H9" s="34"/>
      <c r="I9" s="34"/>
      <c r="J9" s="41">
        <f>C31*'E Balans VL '!D19/100/3.6*1000000+C31*'E Balans VL '!E19/100/3.6*1000000</f>
        <v>5.8021366694305805E-2</v>
      </c>
      <c r="K9" s="34"/>
      <c r="L9" s="34"/>
      <c r="M9" s="34"/>
      <c r="N9" s="34">
        <f>C31*'E Balans VL '!Y19/100/3.6*1000000</f>
        <v>46.47476542638254</v>
      </c>
      <c r="O9" s="34"/>
      <c r="P9" s="34"/>
      <c r="R9" s="33"/>
    </row>
    <row r="10" spans="1:18">
      <c r="A10" s="6" t="s">
        <v>41</v>
      </c>
      <c r="B10" s="38">
        <f t="shared" si="0"/>
        <v>494.73906120378399</v>
      </c>
      <c r="C10" s="34"/>
      <c r="D10" s="38">
        <f>IF( ISERROR(IND_voed_gas_kWh/1000),0,IND_voed_gas_kWh/1000)*0.902</f>
        <v>118.41712094272685</v>
      </c>
      <c r="E10" s="34">
        <f>C32*'E Balans VL '!I20/100/3.6*1000000</f>
        <v>4.8645792838786024</v>
      </c>
      <c r="F10" s="34">
        <f>C32*'E Balans VL '!L20/100/3.6*1000000+C32*'E Balans VL '!N20/100/3.6*1000000</f>
        <v>54.947230399712723</v>
      </c>
      <c r="G10" s="35"/>
      <c r="H10" s="34"/>
      <c r="I10" s="34"/>
      <c r="J10" s="41">
        <f>C32*'E Balans VL '!D20/100/3.6*1000000+C32*'E Balans VL '!E20/100/3.6*1000000</f>
        <v>1.949991238223319E-3</v>
      </c>
      <c r="K10" s="34"/>
      <c r="L10" s="34"/>
      <c r="M10" s="34"/>
      <c r="N10" s="34">
        <f>C32*'E Balans VL '!Y20/100/3.6*1000000</f>
        <v>7.3259217474879588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160.257169600792</v>
      </c>
      <c r="C12" s="34"/>
      <c r="D12" s="38">
        <f>IF( ISERROR(IND_min_gas_kWh/1000),0,IND_min_gas_kWh/1000)*0.902</f>
        <v>0</v>
      </c>
      <c r="E12" s="34">
        <f>C34*'E Balans VL '!I22/100/3.6*1000000</f>
        <v>4.0628044262245764</v>
      </c>
      <c r="F12" s="34">
        <f>C34*'E Balans VL '!L22/100/3.6*1000000+C34*'E Balans VL '!N22/100/3.6*1000000</f>
        <v>44.343717419371295</v>
      </c>
      <c r="G12" s="35"/>
      <c r="H12" s="34"/>
      <c r="I12" s="34"/>
      <c r="J12" s="41">
        <f>C34*'E Balans VL '!D22/100/3.6*1000000+C34*'E Balans VL '!E22/100/3.6*1000000</f>
        <v>1.0583705518705537</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419.01782381601902</v>
      </c>
      <c r="C15" s="34"/>
      <c r="D15" s="38">
        <f>IF( ISERROR(IND_rest_gas_kWh/1000),0,IND_rest_gas_kWh/1000)*0.902</f>
        <v>352.10884504868307</v>
      </c>
      <c r="E15" s="34">
        <f>C37*'E Balans VL '!I15/100/3.6*1000000</f>
        <v>3.7651646655760942</v>
      </c>
      <c r="F15" s="34">
        <f>C37*'E Balans VL '!L15/100/3.6*1000000+C37*'E Balans VL '!N15/100/3.6*1000000</f>
        <v>82.513186988821346</v>
      </c>
      <c r="G15" s="35"/>
      <c r="H15" s="34"/>
      <c r="I15" s="34"/>
      <c r="J15" s="41">
        <f>C37*'E Balans VL '!D15/100/3.6*1000000+C37*'E Balans VL '!E15/100/3.6*1000000</f>
        <v>2.1071444307801328</v>
      </c>
      <c r="K15" s="34"/>
      <c r="L15" s="34"/>
      <c r="M15" s="34"/>
      <c r="N15" s="34">
        <f>C37*'E Balans VL '!Y15/100/3.6*1000000</f>
        <v>12.86274330472256</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1728.7901167479808</v>
      </c>
      <c r="C18" s="22">
        <f>C5+C16</f>
        <v>0</v>
      </c>
      <c r="D18" s="22">
        <f>MAX((D5+D16),0)</f>
        <v>1027.0522266139333</v>
      </c>
      <c r="E18" s="22">
        <f>MAX((E5+E16),0)</f>
        <v>16.61487738514024</v>
      </c>
      <c r="F18" s="22">
        <f>MAX((F5+F16),0)</f>
        <v>675.25432862381422</v>
      </c>
      <c r="G18" s="22"/>
      <c r="H18" s="22"/>
      <c r="I18" s="22"/>
      <c r="J18" s="22">
        <f>MAX((J5+J16),0)</f>
        <v>3.9039000399182151</v>
      </c>
      <c r="K18" s="22"/>
      <c r="L18" s="22">
        <f>MAX((L5+L16),0)</f>
        <v>0</v>
      </c>
      <c r="M18" s="22"/>
      <c r="N18" s="22">
        <f>MAX((N5+N16),0)</f>
        <v>66.805603942855285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0.20871206821656896</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360.81936077883478</v>
      </c>
      <c r="C22" s="24">
        <f ca="1">C18*C20</f>
        <v>0</v>
      </c>
      <c r="D22" s="24">
        <f>D18*D20</f>
        <v>207.46454977601454</v>
      </c>
      <c r="E22" s="24">
        <f>E18*E20</f>
        <v>3.7715771664268347</v>
      </c>
      <c r="F22" s="24">
        <f>F18*F20</f>
        <v>180.29290574255842</v>
      </c>
      <c r="G22" s="24"/>
      <c r="H22" s="24"/>
      <c r="I22" s="24"/>
      <c r="J22" s="24">
        <f>J18*J20</f>
        <v>1.381980614131048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41.370351641622804</v>
      </c>
      <c r="C30" s="40">
        <f>IF(ISERROR(B30*3.6/1000000/'E Balans VL '!Z18*100),0,B30*3.6/1000000/'E Balans VL '!Z18*100)</f>
        <v>2.3019834276883904E-3</v>
      </c>
      <c r="D30" s="240" t="s">
        <v>707</v>
      </c>
    </row>
    <row r="31" spans="1:18">
      <c r="A31" s="6" t="s">
        <v>33</v>
      </c>
      <c r="B31" s="38">
        <f>IF( ISERROR(IND_ander_ele_kWh/1000),0,IND_ander_ele_kWh/1000)</f>
        <v>613.40571048576305</v>
      </c>
      <c r="C31" s="40">
        <f>IF(ISERROR(B31*3.6/1000000/'E Balans VL '!Z19*100),0,B31*3.6/1000000/'E Balans VL '!Z19*100)</f>
        <v>2.851562049139944E-2</v>
      </c>
      <c r="D31" s="240" t="s">
        <v>707</v>
      </c>
    </row>
    <row r="32" spans="1:18">
      <c r="A32" s="174" t="s">
        <v>41</v>
      </c>
      <c r="B32" s="38">
        <f>IF( ISERROR(IND_voed_ele_kWh/1000),0,IND_voed_ele_kWh/1000)</f>
        <v>494.73906120378399</v>
      </c>
      <c r="C32" s="40">
        <f>IF(ISERROR(B32*3.6/1000000/'E Balans VL '!Z20*100),0,B32*3.6/1000000/'E Balans VL '!Z20*100)</f>
        <v>1.7488026645704466E-2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160.257169600792</v>
      </c>
      <c r="C34" s="40">
        <f>IF(ISERROR(B34*3.6/1000000/'E Balans VL '!Z22*100),0,B34*3.6/1000000/'E Balans VL '!Z22*100)</f>
        <v>3.2207171990250166E-2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419.01782381601902</v>
      </c>
      <c r="C37" s="40">
        <f>IF(ISERROR(B37*3.6/1000000/'E Balans VL '!Z15*100),0,B37*3.6/1000000/'E Balans VL '!Z15*100)</f>
        <v>3.1642035527362031E-3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1081.9596957055919</v>
      </c>
      <c r="C5" s="18">
        <f>'Eigen informatie GS &amp; warmtenet'!B60</f>
        <v>0</v>
      </c>
      <c r="D5" s="31">
        <f>IF(ISERROR(SUM(LB_lb_gas_kWh,LB_rest_gas_kWh,onbekend_gas_kWh)/1000),0,SUM(LB_lb_gas_kWh,LB_rest_gas_kWh,onbekend_gas_kWh)/1000)*0.902</f>
        <v>2393.6149766289982</v>
      </c>
      <c r="E5" s="18">
        <f>B17*'E Balans VL '!I25/3.6*1000000/100</f>
        <v>10.192785270322968</v>
      </c>
      <c r="F5" s="18">
        <f>B17*('E Balans VL '!L25/3.6*1000000+'E Balans VL '!N25/3.6*1000000)/100</f>
        <v>3530.793557975574</v>
      </c>
      <c r="G5" s="19"/>
      <c r="H5" s="18"/>
      <c r="I5" s="18"/>
      <c r="J5" s="18">
        <f>('E Balans VL '!D25+'E Balans VL '!E25)/3.6*1000000*landbouw!B17/100</f>
        <v>133.8436770097307</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1081.9596957055919</v>
      </c>
      <c r="C8" s="22">
        <f>C5+C6</f>
        <v>0</v>
      </c>
      <c r="D8" s="22">
        <f>MAX((D5+D6),0)</f>
        <v>2393.6149766289982</v>
      </c>
      <c r="E8" s="22">
        <f>MAX((E5+E6),0)</f>
        <v>10.192785270322968</v>
      </c>
      <c r="F8" s="22">
        <f>MAX((F5+F6),0)</f>
        <v>3530.793557975574</v>
      </c>
      <c r="G8" s="22"/>
      <c r="H8" s="22"/>
      <c r="I8" s="22"/>
      <c r="J8" s="22">
        <f>MAX((J5+J6),0)</f>
        <v>133.8436770097307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0.20871206821656896</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225.8180458176837</v>
      </c>
      <c r="C12" s="24">
        <f ca="1">C8*C10</f>
        <v>0</v>
      </c>
      <c r="D12" s="24">
        <f>D8*D10</f>
        <v>483.51022527905769</v>
      </c>
      <c r="E12" s="24">
        <f>E8*E10</f>
        <v>2.3137622563633138</v>
      </c>
      <c r="F12" s="24">
        <f>F8*F10</f>
        <v>942.72187997947833</v>
      </c>
      <c r="G12" s="24"/>
      <c r="H12" s="24"/>
      <c r="I12" s="24"/>
      <c r="J12" s="24">
        <f>J8*J10</f>
        <v>47.380661661444663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0.14648005363528191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173.62638727755285</v>
      </c>
      <c r="C26" s="250">
        <f>B26*'GWP N2O_CH4'!B5</f>
        <v>3646.1541328286098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92.265137056658844</v>
      </c>
      <c r="C27" s="250">
        <f>B27*'GWP N2O_CH4'!B5</f>
        <v>1937.5678781898357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2.5193256061295655</v>
      </c>
      <c r="C28" s="250">
        <f>B28*'GWP N2O_CH4'!B4</f>
        <v>780.99093790016525</v>
      </c>
      <c r="D28" s="51"/>
    </row>
    <row r="29" spans="1:4">
      <c r="A29" s="42" t="s">
        <v>277</v>
      </c>
      <c r="B29" s="250">
        <f>B34*'ha_N2O bodem landbouw'!B4</f>
        <v>7.5891420392972817</v>
      </c>
      <c r="C29" s="250">
        <f>B29*'GWP N2O_CH4'!B4</f>
        <v>2352.6340321821572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2.048829442393795E-3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2.4289776109226142E-5</v>
      </c>
      <c r="C5" s="447" t="s">
        <v>211</v>
      </c>
      <c r="D5" s="432">
        <f>SUM(D6:D11)</f>
        <v>6.4598586853222858E-5</v>
      </c>
      <c r="E5" s="432">
        <f>SUM(E6:E11)</f>
        <v>4.5201251975225537E-3</v>
      </c>
      <c r="F5" s="445" t="s">
        <v>211</v>
      </c>
      <c r="G5" s="432">
        <f>SUM(G6:G11)</f>
        <v>1.18300644724106</v>
      </c>
      <c r="H5" s="432">
        <f>SUM(H6:H11)</f>
        <v>0.15075463136808617</v>
      </c>
      <c r="I5" s="447" t="s">
        <v>211</v>
      </c>
      <c r="J5" s="447" t="s">
        <v>211</v>
      </c>
      <c r="K5" s="447" t="s">
        <v>211</v>
      </c>
      <c r="L5" s="447" t="s">
        <v>211</v>
      </c>
      <c r="M5" s="432">
        <f>SUM(M6:M11)</f>
        <v>5.9575969058019609E-2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2.9957779763460188E-6</v>
      </c>
      <c r="C6" s="433"/>
      <c r="D6" s="433">
        <f>vkm_2011_GW_PW*SUMIFS(TableVerdeelsleutelVkm[CNG],TableVerdeelsleutelVkm[Voertuigtype],"Lichte voertuigen")*SUMIFS(TableECFTransport[EnergieConsumptieFactor (PJ per km)],TableECFTransport[Index],CONCATENATE($A6,"_CNG_CNG"))</f>
        <v>7.3157399888496417E-6</v>
      </c>
      <c r="E6" s="435">
        <f>vkm_2011_GW_PW*SUMIFS(TableVerdeelsleutelVkm[LPG],TableVerdeelsleutelVkm[Voertuigtype],"Lichte voertuigen")*SUMIFS(TableECFTransport[EnergieConsumptieFactor (PJ per km)],TableECFTransport[Index],CONCATENATE($A6,"_LPG_LPG"))</f>
        <v>4.3363925981147039E-4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6.2687656110941542E-2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1.6428633683679045E-2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3.5429731585872315E-3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2.9560719352949186E-2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1.1926597783337774E-5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1.3169209011513589E-3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1.8694241534663248E-6</v>
      </c>
      <c r="C8" s="433"/>
      <c r="D8" s="435">
        <f>vkm_2011_NGW_PW*SUMIFS(TableVerdeelsleutelVkm[CNG],TableVerdeelsleutelVkm[Voertuigtype],"Lichte voertuigen")*SUMIFS(TableECFTransport[EnergieConsumptieFactor (PJ per km)],TableECFTransport[Index],CONCATENATE($A8,"_CNG_CNG"))</f>
        <v>8.1906817983830211E-6</v>
      </c>
      <c r="E8" s="435">
        <f>vkm_2011_NGW_PW*SUMIFS(TableVerdeelsleutelVkm[LPG],TableVerdeelsleutelVkm[Voertuigtype],"Lichte voertuigen")*SUMIFS(TableECFTransport[EnergieConsumptieFactor (PJ per km)],TableECFTransport[Index],CONCATENATE($A8,"_LPG_LPG"))</f>
        <v>4.4539874613421264E-4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6.0826023840176539E-2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1.7613517221582359E-2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3.5142666774102883E-3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7.7831701446985412E-3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2.7341632897346297E-6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3.4671925024649513E-4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1.9424573979413799E-5</v>
      </c>
      <c r="C10" s="433"/>
      <c r="D10" s="435">
        <f>vkm_2011_SW_PW*SUMIFS(TableVerdeelsleutelVkm[CNG],TableVerdeelsleutelVkm[Voertuigtype],"Lichte voertuigen")*SUMIFS(TableECFTransport[EnergieConsumptieFactor (PJ per km)],TableECFTransport[Index],CONCATENATE($A10,"_CNG_CNG"))</f>
        <v>4.9092165065990197E-5</v>
      </c>
      <c r="E10" s="435">
        <f>vkm_2011_SW_PW*SUMIFS(TableVerdeelsleutelVkm[LPG],TableVerdeelsleutelVkm[Voertuigtype],"Lichte voertuigen")*SUMIFS(TableECFTransport[EnergieConsumptieFactor (PJ per km)],TableECFTransport[Index],CONCATENATE($A10,"_LPG_LPG"))</f>
        <v>3.6410871915768706E-3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0.47969287276798944</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0.11646562065226435</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2.6688231772006996E-2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0.5424560050243048</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2.3219904948736098E-4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2.4166857298617242E-2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6.747160030340595</v>
      </c>
      <c r="C14" s="22"/>
      <c r="D14" s="22">
        <f t="shared" ref="D14:M14" si="0">((D5)*10^9/3600)+D12</f>
        <v>17.944051903673017</v>
      </c>
      <c r="E14" s="22">
        <f t="shared" si="0"/>
        <v>1255.5903326451537</v>
      </c>
      <c r="F14" s="22"/>
      <c r="G14" s="22">
        <f t="shared" si="0"/>
        <v>328612.90201140556</v>
      </c>
      <c r="H14" s="22">
        <f t="shared" si="0"/>
        <v>41876.286491135041</v>
      </c>
      <c r="I14" s="22"/>
      <c r="J14" s="22"/>
      <c r="K14" s="22"/>
      <c r="L14" s="22"/>
      <c r="M14" s="22">
        <f t="shared" si="0"/>
        <v>16548.880293894337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0.20871206821656896</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1.4082137245205537</v>
      </c>
      <c r="C18" s="24"/>
      <c r="D18" s="24">
        <f t="shared" ref="D18:M18" si="1">D14*D16</f>
        <v>3.6246984845419497</v>
      </c>
      <c r="E18" s="24">
        <f t="shared" si="1"/>
        <v>285.01900551044992</v>
      </c>
      <c r="F18" s="24"/>
      <c r="G18" s="24">
        <f t="shared" si="1"/>
        <v>87739.644837045285</v>
      </c>
      <c r="H18" s="24">
        <f t="shared" si="1"/>
        <v>10427.195336292625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2.411820639332752E-3</v>
      </c>
      <c r="H50" s="323">
        <f t="shared" si="2"/>
        <v>0</v>
      </c>
      <c r="I50" s="323">
        <f t="shared" si="2"/>
        <v>0</v>
      </c>
      <c r="J50" s="323">
        <f t="shared" si="2"/>
        <v>0</v>
      </c>
      <c r="K50" s="323">
        <f t="shared" si="2"/>
        <v>0</v>
      </c>
      <c r="L50" s="323">
        <f t="shared" si="2"/>
        <v>0</v>
      </c>
      <c r="M50" s="323">
        <f t="shared" si="2"/>
        <v>1.0590702282010816E-4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2.411820639332752E-3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1.0590702282010816E-4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669.95017759243103</v>
      </c>
      <c r="H54" s="22">
        <f t="shared" si="3"/>
        <v>0</v>
      </c>
      <c r="I54" s="22">
        <f t="shared" si="3"/>
        <v>0</v>
      </c>
      <c r="J54" s="22">
        <f t="shared" si="3"/>
        <v>0</v>
      </c>
      <c r="K54" s="22">
        <f t="shared" si="3"/>
        <v>0</v>
      </c>
      <c r="L54" s="22">
        <f t="shared" si="3"/>
        <v>0</v>
      </c>
      <c r="M54" s="22">
        <f t="shared" si="3"/>
        <v>29.418617450030045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0.20871206821656896</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178.87669741717909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2092.9490141820042</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2092.9490141820042</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11600.266697985455</v>
      </c>
      <c r="D10" s="703">
        <f ca="1">tertiair!C16</f>
        <v>0</v>
      </c>
      <c r="E10" s="703">
        <f ca="1">tertiair!D16</f>
        <v>14182.997919806236</v>
      </c>
      <c r="F10" s="703">
        <f>tertiair!E16</f>
        <v>132.90256887980351</v>
      </c>
      <c r="G10" s="703">
        <f ca="1">tertiair!F16</f>
        <v>2073.9313529534338</v>
      </c>
      <c r="H10" s="703">
        <f>tertiair!G16</f>
        <v>0</v>
      </c>
      <c r="I10" s="703">
        <f>tertiair!H16</f>
        <v>0</v>
      </c>
      <c r="J10" s="703">
        <f>tertiair!I16</f>
        <v>0</v>
      </c>
      <c r="K10" s="703">
        <f>tertiair!J16</f>
        <v>0</v>
      </c>
      <c r="L10" s="703">
        <f>tertiair!K16</f>
        <v>0</v>
      </c>
      <c r="M10" s="703">
        <f ca="1">tertiair!L16</f>
        <v>0</v>
      </c>
      <c r="N10" s="703">
        <f>tertiair!M16</f>
        <v>0</v>
      </c>
      <c r="O10" s="703">
        <f ca="1">tertiair!N16</f>
        <v>707.82719439205596</v>
      </c>
      <c r="P10" s="703">
        <f>tertiair!O16</f>
        <v>0</v>
      </c>
      <c r="Q10" s="704">
        <f>tertiair!P16</f>
        <v>0</v>
      </c>
      <c r="R10" s="706">
        <f ca="1">SUM(C10:Q10)</f>
        <v>28697.925734016982</v>
      </c>
      <c r="S10" s="68"/>
    </row>
    <row r="11" spans="1:19" s="458" customFormat="1">
      <c r="A11" s="859" t="s">
        <v>225</v>
      </c>
      <c r="B11" s="864"/>
      <c r="C11" s="703">
        <f>huishoudens!B8</f>
        <v>23224.1878219625</v>
      </c>
      <c r="D11" s="703">
        <f>huishoudens!C8</f>
        <v>0</v>
      </c>
      <c r="E11" s="703">
        <f>huishoudens!D8</f>
        <v>36956.525724920059</v>
      </c>
      <c r="F11" s="703">
        <f>huishoudens!E8</f>
        <v>3086.5357988941387</v>
      </c>
      <c r="G11" s="703">
        <f>huishoudens!F8</f>
        <v>18739.072156152481</v>
      </c>
      <c r="H11" s="703">
        <f>huishoudens!G8</f>
        <v>0</v>
      </c>
      <c r="I11" s="703">
        <f>huishoudens!H8</f>
        <v>0</v>
      </c>
      <c r="J11" s="703">
        <f>huishoudens!I8</f>
        <v>0</v>
      </c>
      <c r="K11" s="703">
        <f>huishoudens!J8</f>
        <v>2388.8663247883132</v>
      </c>
      <c r="L11" s="703">
        <f>huishoudens!K8</f>
        <v>0</v>
      </c>
      <c r="M11" s="703">
        <f>huishoudens!L8</f>
        <v>0</v>
      </c>
      <c r="N11" s="703">
        <f>huishoudens!M8</f>
        <v>0</v>
      </c>
      <c r="O11" s="703">
        <f>huishoudens!N8</f>
        <v>10900.725879648424</v>
      </c>
      <c r="P11" s="703">
        <f>huishoudens!O8</f>
        <v>67.223333333333329</v>
      </c>
      <c r="Q11" s="704">
        <f>huishoudens!P8</f>
        <v>286</v>
      </c>
      <c r="R11" s="706">
        <f>SUM(C11:Q11)</f>
        <v>95649.137039699242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1728.7901167479808</v>
      </c>
      <c r="D13" s="703">
        <f>industrie!C18</f>
        <v>0</v>
      </c>
      <c r="E13" s="703">
        <f>industrie!D18</f>
        <v>1027.0522266139333</v>
      </c>
      <c r="F13" s="703">
        <f>industrie!E18</f>
        <v>16.61487738514024</v>
      </c>
      <c r="G13" s="703">
        <f>industrie!F18</f>
        <v>675.25432862381422</v>
      </c>
      <c r="H13" s="703">
        <f>industrie!G18</f>
        <v>0</v>
      </c>
      <c r="I13" s="703">
        <f>industrie!H18</f>
        <v>0</v>
      </c>
      <c r="J13" s="703">
        <f>industrie!I18</f>
        <v>0</v>
      </c>
      <c r="K13" s="703">
        <f>industrie!J18</f>
        <v>3.9039000399182151</v>
      </c>
      <c r="L13" s="703">
        <f>industrie!K18</f>
        <v>0</v>
      </c>
      <c r="M13" s="703">
        <f>industrie!L18</f>
        <v>0</v>
      </c>
      <c r="N13" s="703">
        <f>industrie!M18</f>
        <v>0</v>
      </c>
      <c r="O13" s="703">
        <f>industrie!N18</f>
        <v>66.805603942855285</v>
      </c>
      <c r="P13" s="703">
        <f>industrie!O18</f>
        <v>0</v>
      </c>
      <c r="Q13" s="704">
        <f>industrie!P18</f>
        <v>0</v>
      </c>
      <c r="R13" s="706">
        <f>SUM(C13:Q13)</f>
        <v>3518.421053353642</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36553.244636695934</v>
      </c>
      <c r="D15" s="708">
        <f t="shared" ref="D15:Q15" ca="1" si="0">SUM(D9:D14)</f>
        <v>0</v>
      </c>
      <c r="E15" s="708">
        <f t="shared" ca="1" si="0"/>
        <v>52166.575871340225</v>
      </c>
      <c r="F15" s="708">
        <f t="shared" si="0"/>
        <v>3236.0532451590821</v>
      </c>
      <c r="G15" s="708">
        <f t="shared" ca="1" si="0"/>
        <v>21488.257837729729</v>
      </c>
      <c r="H15" s="708">
        <f t="shared" si="0"/>
        <v>0</v>
      </c>
      <c r="I15" s="708">
        <f t="shared" si="0"/>
        <v>0</v>
      </c>
      <c r="J15" s="708">
        <f t="shared" si="0"/>
        <v>0</v>
      </c>
      <c r="K15" s="708">
        <f t="shared" si="0"/>
        <v>2392.7702248282317</v>
      </c>
      <c r="L15" s="708">
        <f t="shared" si="0"/>
        <v>0</v>
      </c>
      <c r="M15" s="708">
        <f t="shared" ca="1" si="0"/>
        <v>0</v>
      </c>
      <c r="N15" s="708">
        <f t="shared" si="0"/>
        <v>0</v>
      </c>
      <c r="O15" s="708">
        <f t="shared" ca="1" si="0"/>
        <v>11675.358677983335</v>
      </c>
      <c r="P15" s="708">
        <f t="shared" si="0"/>
        <v>67.223333333333329</v>
      </c>
      <c r="Q15" s="709">
        <f t="shared" si="0"/>
        <v>286</v>
      </c>
      <c r="R15" s="710">
        <f ca="1">SUM(R9:R14)</f>
        <v>127865.48382706987</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669.95017759243103</v>
      </c>
      <c r="I18" s="703">
        <f>transport!H54</f>
        <v>0</v>
      </c>
      <c r="J18" s="703">
        <f>transport!I54</f>
        <v>0</v>
      </c>
      <c r="K18" s="703">
        <f>transport!J54</f>
        <v>0</v>
      </c>
      <c r="L18" s="703">
        <f>transport!K54</f>
        <v>0</v>
      </c>
      <c r="M18" s="703">
        <f>transport!L54</f>
        <v>0</v>
      </c>
      <c r="N18" s="703">
        <f>transport!M54</f>
        <v>29.418617450030045</v>
      </c>
      <c r="O18" s="703">
        <f>transport!N54</f>
        <v>0</v>
      </c>
      <c r="P18" s="703">
        <f>transport!O54</f>
        <v>0</v>
      </c>
      <c r="Q18" s="704">
        <f>transport!P54</f>
        <v>0</v>
      </c>
      <c r="R18" s="706">
        <f>SUM(C18:Q18)</f>
        <v>699.3687950424611</v>
      </c>
      <c r="S18" s="68"/>
    </row>
    <row r="19" spans="1:19" s="458" customFormat="1" ht="15" thickBot="1">
      <c r="A19" s="859" t="s">
        <v>307</v>
      </c>
      <c r="B19" s="864"/>
      <c r="C19" s="712">
        <f>transport!B14</f>
        <v>6.747160030340595</v>
      </c>
      <c r="D19" s="712">
        <f>transport!C14</f>
        <v>0</v>
      </c>
      <c r="E19" s="712">
        <f>transport!D14</f>
        <v>17.944051903673017</v>
      </c>
      <c r="F19" s="712">
        <f>transport!E14</f>
        <v>1255.5903326451537</v>
      </c>
      <c r="G19" s="712">
        <f>transport!F14</f>
        <v>0</v>
      </c>
      <c r="H19" s="712">
        <f>transport!G14</f>
        <v>328612.90201140556</v>
      </c>
      <c r="I19" s="712">
        <f>transport!H14</f>
        <v>41876.286491135041</v>
      </c>
      <c r="J19" s="712">
        <f>transport!I14</f>
        <v>0</v>
      </c>
      <c r="K19" s="712">
        <f>transport!J14</f>
        <v>0</v>
      </c>
      <c r="L19" s="712">
        <f>transport!K14</f>
        <v>0</v>
      </c>
      <c r="M19" s="712">
        <f>transport!L14</f>
        <v>0</v>
      </c>
      <c r="N19" s="712">
        <f>transport!M14</f>
        <v>16548.880293894337</v>
      </c>
      <c r="O19" s="712">
        <f>transport!N14</f>
        <v>0</v>
      </c>
      <c r="P19" s="712">
        <f>transport!O14</f>
        <v>0</v>
      </c>
      <c r="Q19" s="713">
        <f>transport!P14</f>
        <v>0</v>
      </c>
      <c r="R19" s="714">
        <f>SUM(C19:Q19)</f>
        <v>388318.3503410141</v>
      </c>
      <c r="S19" s="68"/>
    </row>
    <row r="20" spans="1:19" s="458" customFormat="1" ht="15.75" thickBot="1">
      <c r="A20" s="715" t="s">
        <v>230</v>
      </c>
      <c r="B20" s="867"/>
      <c r="C20" s="862">
        <f>SUM(C17:C19)</f>
        <v>6.747160030340595</v>
      </c>
      <c r="D20" s="716">
        <f t="shared" ref="D20:R20" si="1">SUM(D17:D19)</f>
        <v>0</v>
      </c>
      <c r="E20" s="716">
        <f t="shared" si="1"/>
        <v>17.944051903673017</v>
      </c>
      <c r="F20" s="716">
        <f t="shared" si="1"/>
        <v>1255.5903326451537</v>
      </c>
      <c r="G20" s="716">
        <f t="shared" si="1"/>
        <v>0</v>
      </c>
      <c r="H20" s="716">
        <f t="shared" si="1"/>
        <v>329282.85218899802</v>
      </c>
      <c r="I20" s="716">
        <f t="shared" si="1"/>
        <v>41876.286491135041</v>
      </c>
      <c r="J20" s="716">
        <f t="shared" si="1"/>
        <v>0</v>
      </c>
      <c r="K20" s="716">
        <f t="shared" si="1"/>
        <v>0</v>
      </c>
      <c r="L20" s="716">
        <f t="shared" si="1"/>
        <v>0</v>
      </c>
      <c r="M20" s="716">
        <f t="shared" si="1"/>
        <v>0</v>
      </c>
      <c r="N20" s="716">
        <f t="shared" si="1"/>
        <v>16578.298911344365</v>
      </c>
      <c r="O20" s="716">
        <f t="shared" si="1"/>
        <v>0</v>
      </c>
      <c r="P20" s="716">
        <f t="shared" si="1"/>
        <v>0</v>
      </c>
      <c r="Q20" s="717">
        <f t="shared" si="1"/>
        <v>0</v>
      </c>
      <c r="R20" s="718">
        <f t="shared" si="1"/>
        <v>389017.71913605655</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1081.9596957055919</v>
      </c>
      <c r="D22" s="712">
        <f>+landbouw!C8</f>
        <v>0</v>
      </c>
      <c r="E22" s="712">
        <f>+landbouw!D8</f>
        <v>2393.6149766289982</v>
      </c>
      <c r="F22" s="712">
        <f>+landbouw!E8</f>
        <v>10.192785270322968</v>
      </c>
      <c r="G22" s="712">
        <f>+landbouw!F8</f>
        <v>3530.793557975574</v>
      </c>
      <c r="H22" s="712">
        <f>+landbouw!G8</f>
        <v>0</v>
      </c>
      <c r="I22" s="712">
        <f>+landbouw!H8</f>
        <v>0</v>
      </c>
      <c r="J22" s="712">
        <f>+landbouw!I8</f>
        <v>0</v>
      </c>
      <c r="K22" s="712">
        <f>+landbouw!J8</f>
        <v>133.8436770097307</v>
      </c>
      <c r="L22" s="712">
        <f>+landbouw!K8</f>
        <v>0</v>
      </c>
      <c r="M22" s="712">
        <f>+landbouw!L8</f>
        <v>0</v>
      </c>
      <c r="N22" s="712">
        <f>+landbouw!M8</f>
        <v>0</v>
      </c>
      <c r="O22" s="712">
        <f>+landbouw!N8</f>
        <v>0</v>
      </c>
      <c r="P22" s="712">
        <f>+landbouw!O8</f>
        <v>0</v>
      </c>
      <c r="Q22" s="713">
        <f>+landbouw!P8</f>
        <v>0</v>
      </c>
      <c r="R22" s="714">
        <f>SUM(C22:Q22)</f>
        <v>7150.4046925902176</v>
      </c>
      <c r="S22" s="68"/>
    </row>
    <row r="23" spans="1:19" s="458" customFormat="1" ht="17.25" thickTop="1" thickBot="1">
      <c r="A23" s="719" t="s">
        <v>116</v>
      </c>
      <c r="B23" s="853"/>
      <c r="C23" s="720">
        <f ca="1">C20+C15+C22</f>
        <v>37641.951492431865</v>
      </c>
      <c r="D23" s="720">
        <f t="shared" ref="D23:Q23" ca="1" si="2">D20+D15+D22</f>
        <v>0</v>
      </c>
      <c r="E23" s="720">
        <f t="shared" ca="1" si="2"/>
        <v>54578.134899872894</v>
      </c>
      <c r="F23" s="720">
        <f t="shared" si="2"/>
        <v>4501.8363630745589</v>
      </c>
      <c r="G23" s="720">
        <f t="shared" ca="1" si="2"/>
        <v>25019.051395705304</v>
      </c>
      <c r="H23" s="720">
        <f t="shared" si="2"/>
        <v>329282.85218899802</v>
      </c>
      <c r="I23" s="720">
        <f t="shared" si="2"/>
        <v>41876.286491135041</v>
      </c>
      <c r="J23" s="720">
        <f t="shared" si="2"/>
        <v>0</v>
      </c>
      <c r="K23" s="720">
        <f t="shared" si="2"/>
        <v>2526.6139018379622</v>
      </c>
      <c r="L23" s="720">
        <f t="shared" si="2"/>
        <v>0</v>
      </c>
      <c r="M23" s="720">
        <f t="shared" ca="1" si="2"/>
        <v>0</v>
      </c>
      <c r="N23" s="720">
        <f t="shared" si="2"/>
        <v>16578.298911344365</v>
      </c>
      <c r="O23" s="720">
        <f t="shared" ca="1" si="2"/>
        <v>11675.358677983335</v>
      </c>
      <c r="P23" s="720">
        <f t="shared" si="2"/>
        <v>67.223333333333329</v>
      </c>
      <c r="Q23" s="721">
        <f t="shared" si="2"/>
        <v>286</v>
      </c>
      <c r="R23" s="722">
        <f ca="1">R20+R15+R22</f>
        <v>524033.60765571665</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2421.1156544003334</v>
      </c>
      <c r="D36" s="703">
        <f ca="1">tertiair!C20</f>
        <v>0</v>
      </c>
      <c r="E36" s="703">
        <f ca="1">tertiair!D20</f>
        <v>2864.9655798008598</v>
      </c>
      <c r="F36" s="703">
        <f>tertiair!E20</f>
        <v>30.168883135715397</v>
      </c>
      <c r="G36" s="703">
        <f ca="1">tertiair!F20</f>
        <v>553.73967123856687</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5869.9897885754754</v>
      </c>
    </row>
    <row r="37" spans="1:18">
      <c r="A37" s="874" t="s">
        <v>225</v>
      </c>
      <c r="B37" s="881"/>
      <c r="C37" s="703">
        <f ca="1">huishoudens!B12</f>
        <v>4847.1682729718468</v>
      </c>
      <c r="D37" s="703">
        <f ca="1">huishoudens!C12</f>
        <v>0</v>
      </c>
      <c r="E37" s="703">
        <f>huishoudens!D12</f>
        <v>7465.2181964338524</v>
      </c>
      <c r="F37" s="703">
        <f>huishoudens!E12</f>
        <v>700.64362634896952</v>
      </c>
      <c r="G37" s="703">
        <f>huishoudens!F12</f>
        <v>5003.332265692713</v>
      </c>
      <c r="H37" s="703">
        <f>huishoudens!G12</f>
        <v>0</v>
      </c>
      <c r="I37" s="703">
        <f>huishoudens!H12</f>
        <v>0</v>
      </c>
      <c r="J37" s="703">
        <f>huishoudens!I12</f>
        <v>0</v>
      </c>
      <c r="K37" s="703">
        <f>huishoudens!J12</f>
        <v>845.6586789750628</v>
      </c>
      <c r="L37" s="703">
        <f>huishoudens!K12</f>
        <v>0</v>
      </c>
      <c r="M37" s="703">
        <f>huishoudens!L12</f>
        <v>0</v>
      </c>
      <c r="N37" s="703">
        <f>huishoudens!M12</f>
        <v>0</v>
      </c>
      <c r="O37" s="703">
        <f>huishoudens!N12</f>
        <v>0</v>
      </c>
      <c r="P37" s="703">
        <f>huishoudens!O12</f>
        <v>0</v>
      </c>
      <c r="Q37" s="813">
        <f>huishoudens!P12</f>
        <v>0</v>
      </c>
      <c r="R37" s="906">
        <f ca="1">SUM(C37:Q37)</f>
        <v>18862.021040422442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360.81936077883478</v>
      </c>
      <c r="D39" s="703">
        <f ca="1">industrie!C22</f>
        <v>0</v>
      </c>
      <c r="E39" s="703">
        <f>industrie!D22</f>
        <v>207.46454977601454</v>
      </c>
      <c r="F39" s="703">
        <f>industrie!E22</f>
        <v>3.7715771664268347</v>
      </c>
      <c r="G39" s="703">
        <f>industrie!F22</f>
        <v>180.29290574255842</v>
      </c>
      <c r="H39" s="703">
        <f>industrie!G22</f>
        <v>0</v>
      </c>
      <c r="I39" s="703">
        <f>industrie!H22</f>
        <v>0</v>
      </c>
      <c r="J39" s="703">
        <f>industrie!I22</f>
        <v>0</v>
      </c>
      <c r="K39" s="703">
        <f>industrie!J22</f>
        <v>1.381980614131048</v>
      </c>
      <c r="L39" s="703">
        <f>industrie!K22</f>
        <v>0</v>
      </c>
      <c r="M39" s="703">
        <f>industrie!L22</f>
        <v>0</v>
      </c>
      <c r="N39" s="703">
        <f>industrie!M22</f>
        <v>0</v>
      </c>
      <c r="O39" s="703">
        <f>industrie!N22</f>
        <v>0</v>
      </c>
      <c r="P39" s="703">
        <f>industrie!O22</f>
        <v>0</v>
      </c>
      <c r="Q39" s="813">
        <f>industrie!P22</f>
        <v>0</v>
      </c>
      <c r="R39" s="907">
        <f ca="1">SUM(C39:Q39)</f>
        <v>753.73037407796562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7629.1032881510146</v>
      </c>
      <c r="D41" s="748">
        <f t="shared" ref="D41:R41" ca="1" si="4">SUM(D35:D40)</f>
        <v>0</v>
      </c>
      <c r="E41" s="748">
        <f t="shared" ca="1" si="4"/>
        <v>10537.648326010727</v>
      </c>
      <c r="F41" s="748">
        <f t="shared" si="4"/>
        <v>734.58408665111176</v>
      </c>
      <c r="G41" s="748">
        <f t="shared" ca="1" si="4"/>
        <v>5737.3648426738382</v>
      </c>
      <c r="H41" s="748">
        <f t="shared" si="4"/>
        <v>0</v>
      </c>
      <c r="I41" s="748">
        <f t="shared" si="4"/>
        <v>0</v>
      </c>
      <c r="J41" s="748">
        <f t="shared" si="4"/>
        <v>0</v>
      </c>
      <c r="K41" s="748">
        <f t="shared" si="4"/>
        <v>847.04065958919387</v>
      </c>
      <c r="L41" s="748">
        <f t="shared" si="4"/>
        <v>0</v>
      </c>
      <c r="M41" s="748">
        <f t="shared" ca="1" si="4"/>
        <v>0</v>
      </c>
      <c r="N41" s="748">
        <f t="shared" si="4"/>
        <v>0</v>
      </c>
      <c r="O41" s="748">
        <f t="shared" ca="1" si="4"/>
        <v>0</v>
      </c>
      <c r="P41" s="748">
        <f t="shared" si="4"/>
        <v>0</v>
      </c>
      <c r="Q41" s="749">
        <f t="shared" si="4"/>
        <v>0</v>
      </c>
      <c r="R41" s="750">
        <f t="shared" ca="1" si="4"/>
        <v>25485.741203075882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178.87669741717909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178.87669741717909</v>
      </c>
    </row>
    <row r="45" spans="1:18" ht="15" thickBot="1">
      <c r="A45" s="877" t="s">
        <v>307</v>
      </c>
      <c r="B45" s="887"/>
      <c r="C45" s="712">
        <f ca="1">transport!B18</f>
        <v>1.4082137245205537</v>
      </c>
      <c r="D45" s="712">
        <f>transport!C18</f>
        <v>0</v>
      </c>
      <c r="E45" s="712">
        <f>transport!D18</f>
        <v>3.6246984845419497</v>
      </c>
      <c r="F45" s="712">
        <f>transport!E18</f>
        <v>285.01900551044992</v>
      </c>
      <c r="G45" s="712">
        <f>transport!F18</f>
        <v>0</v>
      </c>
      <c r="H45" s="712">
        <f>transport!G18</f>
        <v>87739.644837045285</v>
      </c>
      <c r="I45" s="712">
        <f>transport!H18</f>
        <v>10427.195336292625</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98456.892091057423</v>
      </c>
    </row>
    <row r="46" spans="1:18" ht="15.75" thickBot="1">
      <c r="A46" s="875" t="s">
        <v>230</v>
      </c>
      <c r="B46" s="888"/>
      <c r="C46" s="748">
        <f t="shared" ref="C46:R46" ca="1" si="5">SUM(C43:C45)</f>
        <v>1.4082137245205537</v>
      </c>
      <c r="D46" s="748">
        <f t="shared" ca="1" si="5"/>
        <v>0</v>
      </c>
      <c r="E46" s="748">
        <f t="shared" si="5"/>
        <v>3.6246984845419497</v>
      </c>
      <c r="F46" s="748">
        <f t="shared" si="5"/>
        <v>285.01900551044992</v>
      </c>
      <c r="G46" s="748">
        <f t="shared" si="5"/>
        <v>0</v>
      </c>
      <c r="H46" s="748">
        <f t="shared" si="5"/>
        <v>87918.521534462459</v>
      </c>
      <c r="I46" s="748">
        <f t="shared" si="5"/>
        <v>10427.195336292625</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98635.768788474597</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225.8180458176837</v>
      </c>
      <c r="D48" s="703">
        <f ca="1">+landbouw!C12</f>
        <v>0</v>
      </c>
      <c r="E48" s="703">
        <f>+landbouw!D12</f>
        <v>483.51022527905769</v>
      </c>
      <c r="F48" s="703">
        <f>+landbouw!E12</f>
        <v>2.3137622563633138</v>
      </c>
      <c r="G48" s="703">
        <f>+landbouw!F12</f>
        <v>942.72187997947833</v>
      </c>
      <c r="H48" s="703">
        <f>+landbouw!G12</f>
        <v>0</v>
      </c>
      <c r="I48" s="703">
        <f>+landbouw!H12</f>
        <v>0</v>
      </c>
      <c r="J48" s="703">
        <f>+landbouw!I12</f>
        <v>0</v>
      </c>
      <c r="K48" s="703">
        <f>+landbouw!J12</f>
        <v>47.380661661444663</v>
      </c>
      <c r="L48" s="703">
        <f>+landbouw!K12</f>
        <v>0</v>
      </c>
      <c r="M48" s="703">
        <f>+landbouw!L12</f>
        <v>0</v>
      </c>
      <c r="N48" s="703">
        <f>+landbouw!M12</f>
        <v>0</v>
      </c>
      <c r="O48" s="703">
        <f>+landbouw!N12</f>
        <v>0</v>
      </c>
      <c r="P48" s="703">
        <f>+landbouw!O12</f>
        <v>0</v>
      </c>
      <c r="Q48" s="704">
        <f>+landbouw!P12</f>
        <v>0</v>
      </c>
      <c r="R48" s="746">
        <f ca="1">SUM(C48:Q48)</f>
        <v>1701.744574994028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7856.329547693219</v>
      </c>
      <c r="D53" s="758">
        <f t="shared" ref="D53:Q53" ca="1" si="6">D41+D46+D48</f>
        <v>0</v>
      </c>
      <c r="E53" s="758">
        <f t="shared" ca="1" si="6"/>
        <v>11024.783249774327</v>
      </c>
      <c r="F53" s="758">
        <f t="shared" si="6"/>
        <v>1021.916854417925</v>
      </c>
      <c r="G53" s="758">
        <f t="shared" ca="1" si="6"/>
        <v>6680.0867226533164</v>
      </c>
      <c r="H53" s="758">
        <f t="shared" si="6"/>
        <v>87918.521534462459</v>
      </c>
      <c r="I53" s="758">
        <f t="shared" si="6"/>
        <v>10427.195336292625</v>
      </c>
      <c r="J53" s="758">
        <f t="shared" si="6"/>
        <v>0</v>
      </c>
      <c r="K53" s="758">
        <f t="shared" si="6"/>
        <v>894.42132125063858</v>
      </c>
      <c r="L53" s="758">
        <f t="shared" si="6"/>
        <v>0</v>
      </c>
      <c r="M53" s="758">
        <f t="shared" ca="1" si="6"/>
        <v>0</v>
      </c>
      <c r="N53" s="758">
        <f t="shared" si="6"/>
        <v>0</v>
      </c>
      <c r="O53" s="758">
        <f t="shared" ca="1" si="6"/>
        <v>0</v>
      </c>
      <c r="P53" s="758">
        <f>P41+P46+P48</f>
        <v>0</v>
      </c>
      <c r="Q53" s="759">
        <f t="shared" si="6"/>
        <v>0</v>
      </c>
      <c r="R53" s="760">
        <f ca="1">R41+R46+R48</f>
        <v>125823.25456654451</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0.20871206821656896</v>
      </c>
      <c r="D55" s="824">
        <f t="shared" ca="1" si="7"/>
        <v>0</v>
      </c>
      <c r="E55" s="824">
        <f t="shared" ca="1" si="7"/>
        <v>0.20200000000000007</v>
      </c>
      <c r="F55" s="824">
        <f t="shared" si="7"/>
        <v>0.22700000000000004</v>
      </c>
      <c r="G55" s="824">
        <f t="shared" ca="1" si="7"/>
        <v>0.26700000000000002</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2092.9490141820042</v>
      </c>
      <c r="C66" s="780">
        <f>'lokale energieproductie'!B6</f>
        <v>2092.9490141820042</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2092.9490141820042</v>
      </c>
      <c r="C69" s="788">
        <f>SUM(C64:C68)</f>
        <v>2092.9490141820042</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23224.1878219625</v>
      </c>
      <c r="C4" s="462">
        <f>huishoudens!C8</f>
        <v>0</v>
      </c>
      <c r="D4" s="462">
        <f>huishoudens!D8</f>
        <v>36956.525724920059</v>
      </c>
      <c r="E4" s="462">
        <f>huishoudens!E8</f>
        <v>3086.5357988941387</v>
      </c>
      <c r="F4" s="462">
        <f>huishoudens!F8</f>
        <v>18739.072156152481</v>
      </c>
      <c r="G4" s="462">
        <f>huishoudens!G8</f>
        <v>0</v>
      </c>
      <c r="H4" s="462">
        <f>huishoudens!H8</f>
        <v>0</v>
      </c>
      <c r="I4" s="462">
        <f>huishoudens!I8</f>
        <v>0</v>
      </c>
      <c r="J4" s="462">
        <f>huishoudens!J8</f>
        <v>2388.8663247883132</v>
      </c>
      <c r="K4" s="462">
        <f>huishoudens!K8</f>
        <v>0</v>
      </c>
      <c r="L4" s="462">
        <f>huishoudens!L8</f>
        <v>0</v>
      </c>
      <c r="M4" s="462">
        <f>huishoudens!M8</f>
        <v>0</v>
      </c>
      <c r="N4" s="462">
        <f>huishoudens!N8</f>
        <v>10900.725879648424</v>
      </c>
      <c r="O4" s="462">
        <f>huishoudens!O8</f>
        <v>67.223333333333329</v>
      </c>
      <c r="P4" s="463">
        <f>huishoudens!P8</f>
        <v>286</v>
      </c>
      <c r="Q4" s="464">
        <f>SUM(B4:P4)</f>
        <v>95649.137039699242</v>
      </c>
    </row>
    <row r="5" spans="1:17">
      <c r="A5" s="461" t="s">
        <v>156</v>
      </c>
      <c r="B5" s="462">
        <f ca="1">tertiair!B16</f>
        <v>10768.503697985454</v>
      </c>
      <c r="C5" s="462">
        <f ca="1">tertiair!C16</f>
        <v>0</v>
      </c>
      <c r="D5" s="462">
        <f ca="1">tertiair!D16</f>
        <v>14182.997919806236</v>
      </c>
      <c r="E5" s="462">
        <f>tertiair!E16</f>
        <v>132.90256887980351</v>
      </c>
      <c r="F5" s="462">
        <f ca="1">tertiair!F16</f>
        <v>2073.9313529534338</v>
      </c>
      <c r="G5" s="462">
        <f>tertiair!G16</f>
        <v>0</v>
      </c>
      <c r="H5" s="462">
        <f>tertiair!H16</f>
        <v>0</v>
      </c>
      <c r="I5" s="462">
        <f>tertiair!I16</f>
        <v>0</v>
      </c>
      <c r="J5" s="462">
        <f>tertiair!J16</f>
        <v>0</v>
      </c>
      <c r="K5" s="462">
        <f>tertiair!K16</f>
        <v>0</v>
      </c>
      <c r="L5" s="462">
        <f ca="1">tertiair!L16</f>
        <v>0</v>
      </c>
      <c r="M5" s="462">
        <f>tertiair!M16</f>
        <v>0</v>
      </c>
      <c r="N5" s="462">
        <f ca="1">tertiair!N16</f>
        <v>707.82719439205596</v>
      </c>
      <c r="O5" s="462">
        <f>tertiair!O16</f>
        <v>0</v>
      </c>
      <c r="P5" s="463">
        <f>tertiair!P16</f>
        <v>0</v>
      </c>
      <c r="Q5" s="461">
        <f t="shared" ref="Q5:Q13" ca="1" si="0">SUM(B5:P5)</f>
        <v>27866.162734016983</v>
      </c>
    </row>
    <row r="6" spans="1:17">
      <c r="A6" s="461" t="s">
        <v>194</v>
      </c>
      <c r="B6" s="462">
        <f>'openbare verlichting'!B8</f>
        <v>831.76300000000003</v>
      </c>
      <c r="C6" s="462"/>
      <c r="D6" s="462"/>
      <c r="E6" s="462"/>
      <c r="F6" s="462"/>
      <c r="G6" s="462"/>
      <c r="H6" s="462"/>
      <c r="I6" s="462"/>
      <c r="J6" s="462"/>
      <c r="K6" s="462"/>
      <c r="L6" s="462"/>
      <c r="M6" s="462"/>
      <c r="N6" s="462"/>
      <c r="O6" s="462"/>
      <c r="P6" s="463"/>
      <c r="Q6" s="461">
        <f t="shared" si="0"/>
        <v>831.76300000000003</v>
      </c>
    </row>
    <row r="7" spans="1:17">
      <c r="A7" s="461" t="s">
        <v>112</v>
      </c>
      <c r="B7" s="462">
        <f>landbouw!B8</f>
        <v>1081.9596957055919</v>
      </c>
      <c r="C7" s="462">
        <f>landbouw!C8</f>
        <v>0</v>
      </c>
      <c r="D7" s="462">
        <f>landbouw!D8</f>
        <v>2393.6149766289982</v>
      </c>
      <c r="E7" s="462">
        <f>landbouw!E8</f>
        <v>10.192785270322968</v>
      </c>
      <c r="F7" s="462">
        <f>landbouw!F8</f>
        <v>3530.793557975574</v>
      </c>
      <c r="G7" s="462">
        <f>landbouw!G8</f>
        <v>0</v>
      </c>
      <c r="H7" s="462">
        <f>landbouw!H8</f>
        <v>0</v>
      </c>
      <c r="I7" s="462">
        <f>landbouw!I8</f>
        <v>0</v>
      </c>
      <c r="J7" s="462">
        <f>landbouw!J8</f>
        <v>133.8436770097307</v>
      </c>
      <c r="K7" s="462">
        <f>landbouw!K8</f>
        <v>0</v>
      </c>
      <c r="L7" s="462">
        <f>landbouw!L8</f>
        <v>0</v>
      </c>
      <c r="M7" s="462">
        <f>landbouw!M8</f>
        <v>0</v>
      </c>
      <c r="N7" s="462">
        <f>landbouw!N8</f>
        <v>0</v>
      </c>
      <c r="O7" s="462">
        <f>landbouw!O8</f>
        <v>0</v>
      </c>
      <c r="P7" s="463">
        <f>landbouw!P8</f>
        <v>0</v>
      </c>
      <c r="Q7" s="461">
        <f t="shared" si="0"/>
        <v>7150.4046925902176</v>
      </c>
    </row>
    <row r="8" spans="1:17">
      <c r="A8" s="461" t="s">
        <v>685</v>
      </c>
      <c r="B8" s="462">
        <f>industrie!B18</f>
        <v>1728.7901167479808</v>
      </c>
      <c r="C8" s="462">
        <f>industrie!C18</f>
        <v>0</v>
      </c>
      <c r="D8" s="462">
        <f>industrie!D18</f>
        <v>1027.0522266139333</v>
      </c>
      <c r="E8" s="462">
        <f>industrie!E18</f>
        <v>16.61487738514024</v>
      </c>
      <c r="F8" s="462">
        <f>industrie!F18</f>
        <v>675.25432862381422</v>
      </c>
      <c r="G8" s="462">
        <f>industrie!G18</f>
        <v>0</v>
      </c>
      <c r="H8" s="462">
        <f>industrie!H18</f>
        <v>0</v>
      </c>
      <c r="I8" s="462">
        <f>industrie!I18</f>
        <v>0</v>
      </c>
      <c r="J8" s="462">
        <f>industrie!J18</f>
        <v>3.9039000399182151</v>
      </c>
      <c r="K8" s="462">
        <f>industrie!K18</f>
        <v>0</v>
      </c>
      <c r="L8" s="462">
        <f>industrie!L18</f>
        <v>0</v>
      </c>
      <c r="M8" s="462">
        <f>industrie!M18</f>
        <v>0</v>
      </c>
      <c r="N8" s="462">
        <f>industrie!N18</f>
        <v>66.805603942855285</v>
      </c>
      <c r="O8" s="462">
        <f>industrie!O18</f>
        <v>0</v>
      </c>
      <c r="P8" s="463">
        <f>industrie!P18</f>
        <v>0</v>
      </c>
      <c r="Q8" s="461">
        <f t="shared" si="0"/>
        <v>3518.421053353642</v>
      </c>
    </row>
    <row r="9" spans="1:17" s="467" customFormat="1">
      <c r="A9" s="465" t="s">
        <v>579</v>
      </c>
      <c r="B9" s="466">
        <f>transport!B14</f>
        <v>6.747160030340595</v>
      </c>
      <c r="C9" s="466"/>
      <c r="D9" s="466">
        <f>transport!D14</f>
        <v>17.944051903673017</v>
      </c>
      <c r="E9" s="466">
        <f>transport!E14</f>
        <v>1255.5903326451537</v>
      </c>
      <c r="F9" s="466"/>
      <c r="G9" s="466">
        <f>transport!G14</f>
        <v>328612.90201140556</v>
      </c>
      <c r="H9" s="466">
        <f>transport!H14</f>
        <v>41876.286491135041</v>
      </c>
      <c r="I9" s="466"/>
      <c r="J9" s="466"/>
      <c r="K9" s="466"/>
      <c r="L9" s="466"/>
      <c r="M9" s="466">
        <f>transport!M14</f>
        <v>16548.880293894337</v>
      </c>
      <c r="N9" s="466"/>
      <c r="O9" s="466"/>
      <c r="P9" s="466"/>
      <c r="Q9" s="465">
        <f>SUM(B9:P9)</f>
        <v>388318.3503410141</v>
      </c>
    </row>
    <row r="10" spans="1:17">
      <c r="A10" s="461" t="s">
        <v>569</v>
      </c>
      <c r="B10" s="462">
        <f>transport!B54</f>
        <v>0</v>
      </c>
      <c r="C10" s="462"/>
      <c r="D10" s="462">
        <f>transport!D54</f>
        <v>0</v>
      </c>
      <c r="E10" s="462"/>
      <c r="F10" s="462"/>
      <c r="G10" s="462">
        <f>transport!G54</f>
        <v>669.95017759243103</v>
      </c>
      <c r="H10" s="462"/>
      <c r="I10" s="462"/>
      <c r="J10" s="462"/>
      <c r="K10" s="462"/>
      <c r="L10" s="462"/>
      <c r="M10" s="462">
        <f>transport!M54</f>
        <v>29.418617450030045</v>
      </c>
      <c r="N10" s="462"/>
      <c r="O10" s="462"/>
      <c r="P10" s="463"/>
      <c r="Q10" s="461">
        <f t="shared" si="0"/>
        <v>699.3687950424611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37641.951492431865</v>
      </c>
      <c r="C14" s="472">
        <f t="shared" ref="C14:Q14" ca="1" si="1">SUM(C4:C13)</f>
        <v>0</v>
      </c>
      <c r="D14" s="472">
        <f t="shared" ca="1" si="1"/>
        <v>54578.134899872894</v>
      </c>
      <c r="E14" s="472">
        <f t="shared" si="1"/>
        <v>4501.8363630745589</v>
      </c>
      <c r="F14" s="472">
        <f t="shared" ca="1" si="1"/>
        <v>25019.051395705304</v>
      </c>
      <c r="G14" s="472">
        <f t="shared" si="1"/>
        <v>329282.85218899802</v>
      </c>
      <c r="H14" s="472">
        <f t="shared" si="1"/>
        <v>41876.286491135041</v>
      </c>
      <c r="I14" s="472">
        <f t="shared" si="1"/>
        <v>0</v>
      </c>
      <c r="J14" s="472">
        <f t="shared" si="1"/>
        <v>2526.6139018379622</v>
      </c>
      <c r="K14" s="472">
        <f t="shared" si="1"/>
        <v>0</v>
      </c>
      <c r="L14" s="472">
        <f t="shared" ca="1" si="1"/>
        <v>0</v>
      </c>
      <c r="M14" s="472">
        <f t="shared" si="1"/>
        <v>16578.298911344365</v>
      </c>
      <c r="N14" s="472">
        <f t="shared" ca="1" si="1"/>
        <v>11675.358677983335</v>
      </c>
      <c r="O14" s="472">
        <f t="shared" si="1"/>
        <v>67.223333333333329</v>
      </c>
      <c r="P14" s="473">
        <f t="shared" si="1"/>
        <v>286</v>
      </c>
      <c r="Q14" s="473">
        <f t="shared" ca="1" si="1"/>
        <v>524033.60765571665</v>
      </c>
    </row>
    <row r="16" spans="1:17">
      <c r="A16" s="475" t="s">
        <v>574</v>
      </c>
      <c r="B16" s="829">
        <f ca="1">huishoudens!B10</f>
        <v>0.20871206821656896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4847.1682729718468</v>
      </c>
      <c r="C21" s="462">
        <f t="shared" ref="C21:C28" ca="1" si="3">C4*$C$16</f>
        <v>0</v>
      </c>
      <c r="D21" s="462">
        <f t="shared" ref="D21:D30" si="4">D4*$D$16</f>
        <v>7465.2181964338524</v>
      </c>
      <c r="E21" s="462">
        <f t="shared" ref="E21:E30" si="5">E4*$E$16</f>
        <v>700.64362634896952</v>
      </c>
      <c r="F21" s="462">
        <f t="shared" ref="F21:F28" si="6">F4*$F$16</f>
        <v>5003.332265692713</v>
      </c>
      <c r="G21" s="462">
        <f t="shared" ref="G21:G30" si="7">G4*$G$16</f>
        <v>0</v>
      </c>
      <c r="H21" s="462">
        <f t="shared" ref="H21:H30" si="8">H4*$H$16</f>
        <v>0</v>
      </c>
      <c r="I21" s="462">
        <f t="shared" ref="I21:I28" si="9">I4*$I$16</f>
        <v>0</v>
      </c>
      <c r="J21" s="462">
        <f t="shared" ref="J21:J28" si="10">J4*$J$16</f>
        <v>845.6586789750628</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18862.021040422442</v>
      </c>
    </row>
    <row r="22" spans="1:17">
      <c r="A22" s="461" t="s">
        <v>156</v>
      </c>
      <c r="B22" s="462">
        <f t="shared" ca="1" si="2"/>
        <v>2247.5166784043154</v>
      </c>
      <c r="C22" s="462">
        <f t="shared" ca="1" si="3"/>
        <v>0</v>
      </c>
      <c r="D22" s="462">
        <f t="shared" ca="1" si="4"/>
        <v>2864.9655798008598</v>
      </c>
      <c r="E22" s="462">
        <f t="shared" si="5"/>
        <v>30.168883135715397</v>
      </c>
      <c r="F22" s="462">
        <f t="shared" ca="1" si="6"/>
        <v>553.73967123856687</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5696.3908125794569</v>
      </c>
    </row>
    <row r="23" spans="1:17">
      <c r="A23" s="461" t="s">
        <v>194</v>
      </c>
      <c r="B23" s="462">
        <f t="shared" ca="1" si="2"/>
        <v>173.59897599601805</v>
      </c>
      <c r="C23" s="462"/>
      <c r="D23" s="462"/>
      <c r="E23" s="462"/>
      <c r="F23" s="462"/>
      <c r="G23" s="462"/>
      <c r="H23" s="462"/>
      <c r="I23" s="462"/>
      <c r="J23" s="462"/>
      <c r="K23" s="462"/>
      <c r="L23" s="462"/>
      <c r="M23" s="462"/>
      <c r="N23" s="462"/>
      <c r="O23" s="462"/>
      <c r="P23" s="463"/>
      <c r="Q23" s="461">
        <f t="shared" ca="1" si="17"/>
        <v>173.59897599601805</v>
      </c>
    </row>
    <row r="24" spans="1:17">
      <c r="A24" s="461" t="s">
        <v>112</v>
      </c>
      <c r="B24" s="462">
        <f t="shared" ca="1" si="2"/>
        <v>225.8180458176837</v>
      </c>
      <c r="C24" s="462">
        <f t="shared" ca="1" si="3"/>
        <v>0</v>
      </c>
      <c r="D24" s="462">
        <f t="shared" si="4"/>
        <v>483.51022527905769</v>
      </c>
      <c r="E24" s="462">
        <f t="shared" si="5"/>
        <v>2.3137622563633138</v>
      </c>
      <c r="F24" s="462">
        <f t="shared" si="6"/>
        <v>942.72187997947833</v>
      </c>
      <c r="G24" s="462">
        <f t="shared" si="7"/>
        <v>0</v>
      </c>
      <c r="H24" s="462">
        <f t="shared" si="8"/>
        <v>0</v>
      </c>
      <c r="I24" s="462">
        <f t="shared" si="9"/>
        <v>0</v>
      </c>
      <c r="J24" s="462">
        <f t="shared" si="10"/>
        <v>47.380661661444663</v>
      </c>
      <c r="K24" s="462">
        <f t="shared" si="11"/>
        <v>0</v>
      </c>
      <c r="L24" s="462">
        <f t="shared" si="12"/>
        <v>0</v>
      </c>
      <c r="M24" s="462">
        <f t="shared" si="13"/>
        <v>0</v>
      </c>
      <c r="N24" s="462">
        <f t="shared" si="14"/>
        <v>0</v>
      </c>
      <c r="O24" s="462">
        <f t="shared" si="15"/>
        <v>0</v>
      </c>
      <c r="P24" s="463">
        <f t="shared" si="16"/>
        <v>0</v>
      </c>
      <c r="Q24" s="461">
        <f t="shared" ca="1" si="17"/>
        <v>1701.744574994028</v>
      </c>
    </row>
    <row r="25" spans="1:17">
      <c r="A25" s="461" t="s">
        <v>685</v>
      </c>
      <c r="B25" s="462">
        <f t="shared" ca="1" si="2"/>
        <v>360.81936077883478</v>
      </c>
      <c r="C25" s="462">
        <f t="shared" ca="1" si="3"/>
        <v>0</v>
      </c>
      <c r="D25" s="462">
        <f t="shared" si="4"/>
        <v>207.46454977601454</v>
      </c>
      <c r="E25" s="462">
        <f t="shared" si="5"/>
        <v>3.7715771664268347</v>
      </c>
      <c r="F25" s="462">
        <f t="shared" si="6"/>
        <v>180.29290574255842</v>
      </c>
      <c r="G25" s="462">
        <f t="shared" si="7"/>
        <v>0</v>
      </c>
      <c r="H25" s="462">
        <f t="shared" si="8"/>
        <v>0</v>
      </c>
      <c r="I25" s="462">
        <f t="shared" si="9"/>
        <v>0</v>
      </c>
      <c r="J25" s="462">
        <f t="shared" si="10"/>
        <v>1.381980614131048</v>
      </c>
      <c r="K25" s="462">
        <f t="shared" si="11"/>
        <v>0</v>
      </c>
      <c r="L25" s="462">
        <f t="shared" si="12"/>
        <v>0</v>
      </c>
      <c r="M25" s="462">
        <f t="shared" si="13"/>
        <v>0</v>
      </c>
      <c r="N25" s="462">
        <f t="shared" si="14"/>
        <v>0</v>
      </c>
      <c r="O25" s="462">
        <f t="shared" si="15"/>
        <v>0</v>
      </c>
      <c r="P25" s="463">
        <f t="shared" si="16"/>
        <v>0</v>
      </c>
      <c r="Q25" s="461">
        <f t="shared" ca="1" si="17"/>
        <v>753.73037407796562</v>
      </c>
    </row>
    <row r="26" spans="1:17" s="467" customFormat="1">
      <c r="A26" s="465" t="s">
        <v>579</v>
      </c>
      <c r="B26" s="823">
        <f t="shared" ca="1" si="2"/>
        <v>1.4082137245205537</v>
      </c>
      <c r="C26" s="466"/>
      <c r="D26" s="466">
        <f t="shared" si="4"/>
        <v>3.6246984845419497</v>
      </c>
      <c r="E26" s="466">
        <f t="shared" si="5"/>
        <v>285.01900551044992</v>
      </c>
      <c r="F26" s="466"/>
      <c r="G26" s="466">
        <f t="shared" si="7"/>
        <v>87739.644837045285</v>
      </c>
      <c r="H26" s="466">
        <f t="shared" si="8"/>
        <v>10427.195336292625</v>
      </c>
      <c r="I26" s="466"/>
      <c r="J26" s="466"/>
      <c r="K26" s="466"/>
      <c r="L26" s="466"/>
      <c r="M26" s="466">
        <f t="shared" si="13"/>
        <v>0</v>
      </c>
      <c r="N26" s="466"/>
      <c r="O26" s="466"/>
      <c r="P26" s="477"/>
      <c r="Q26" s="465">
        <f t="shared" ca="1" si="17"/>
        <v>98456.892091057423</v>
      </c>
    </row>
    <row r="27" spans="1:17">
      <c r="A27" s="461" t="s">
        <v>569</v>
      </c>
      <c r="B27" s="462">
        <f t="shared" ca="1" si="2"/>
        <v>0</v>
      </c>
      <c r="C27" s="462"/>
      <c r="D27" s="466">
        <f t="shared" si="4"/>
        <v>0</v>
      </c>
      <c r="E27" s="462"/>
      <c r="F27" s="462"/>
      <c r="G27" s="462">
        <f t="shared" si="7"/>
        <v>178.87669741717909</v>
      </c>
      <c r="H27" s="462"/>
      <c r="I27" s="462"/>
      <c r="J27" s="462"/>
      <c r="K27" s="462"/>
      <c r="L27" s="462"/>
      <c r="M27" s="462">
        <f t="shared" si="13"/>
        <v>0</v>
      </c>
      <c r="N27" s="462"/>
      <c r="O27" s="462"/>
      <c r="P27" s="463"/>
      <c r="Q27" s="461">
        <f t="shared" ca="1" si="17"/>
        <v>178.87669741717909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7856.3295476932199</v>
      </c>
      <c r="C31" s="472">
        <f t="shared" ca="1" si="18"/>
        <v>0</v>
      </c>
      <c r="D31" s="472">
        <f t="shared" ca="1" si="18"/>
        <v>11024.783249774327</v>
      </c>
      <c r="E31" s="472">
        <f t="shared" si="18"/>
        <v>1021.916854417925</v>
      </c>
      <c r="F31" s="472">
        <f t="shared" ca="1" si="18"/>
        <v>6680.0867226533164</v>
      </c>
      <c r="G31" s="472">
        <f t="shared" si="18"/>
        <v>87918.521534462459</v>
      </c>
      <c r="H31" s="472">
        <f t="shared" si="18"/>
        <v>10427.195336292625</v>
      </c>
      <c r="I31" s="472">
        <f t="shared" si="18"/>
        <v>0</v>
      </c>
      <c r="J31" s="472">
        <f t="shared" si="18"/>
        <v>894.42132125063847</v>
      </c>
      <c r="K31" s="472">
        <f t="shared" si="18"/>
        <v>0</v>
      </c>
      <c r="L31" s="472">
        <f t="shared" ca="1" si="18"/>
        <v>0</v>
      </c>
      <c r="M31" s="472">
        <f t="shared" si="18"/>
        <v>0</v>
      </c>
      <c r="N31" s="472">
        <f t="shared" ca="1" si="18"/>
        <v>0</v>
      </c>
      <c r="O31" s="472">
        <f t="shared" si="18"/>
        <v>0</v>
      </c>
      <c r="P31" s="473">
        <f t="shared" si="18"/>
        <v>0</v>
      </c>
      <c r="Q31" s="473">
        <f t="shared" ca="1" si="18"/>
        <v>125823.25456654451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0.20871206821656896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0.20871206821656896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0.20871206821656896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2018-12-05T16:07:30Z</dcterms:modified>
</cp:coreProperties>
</file>