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H14" i="22" l="1"/>
  <c r="I19" i="14" s="1"/>
  <c r="I20" s="1"/>
  <c r="I23" s="1"/>
  <c r="E13"/>
  <c r="Q15"/>
  <c r="Q23" s="1"/>
  <c r="Q55" s="1"/>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H9" i="48" l="1"/>
  <c r="H26" s="1"/>
  <c r="H31" s="1"/>
  <c r="H18" i="22"/>
  <c r="I45" i="14" s="1"/>
  <c r="I46" s="1"/>
  <c r="I53" s="1"/>
  <c r="I55"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J14"/>
  <c r="R10" i="14"/>
  <c r="F22" i="16" l="1"/>
  <c r="G39" i="14" s="1"/>
  <c r="G41" s="1"/>
  <c r="G53" s="1"/>
  <c r="G55" s="1"/>
  <c r="O69" s="1"/>
  <c r="B9" i="6" s="1"/>
  <c r="B12" s="1"/>
  <c r="Q9" i="48"/>
  <c r="F8"/>
  <c r="F25" s="1"/>
  <c r="F31" s="1"/>
  <c r="Q5"/>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<sst xmlns="http://schemas.openxmlformats.org/spreadsheetml/2006/main" count="2205" uniqueCount="914">
  <si>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</si>
  <si>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</si>
  <si>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</si>
  <si>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</si>
  <si>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</si>
  <si>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</si>
  <si>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</si>
  <si>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</si>
  <si>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</si>
  <si>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</si>
  <si>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</si>
  <si>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</si>
  <si>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</si>
  <si>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</si>
  <si>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</si>
  <si>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</si>
  <si>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</si>
  <si>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</si>
  <si>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</si>
  <si>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</si>
  <si>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</si>
  <si>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</si>
  <si>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</si>
  <si>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</si>
  <si>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</si>
  <si>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</si>
  <si>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</si>
  <si>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</si>
  <si>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</si>
  <si>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</si>
  <si>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</si>
  <si>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</si>
  <si>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</si>
  <si>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</si>
  <si>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</si>
  <si>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</si>
  <si>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</si>
  <si>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</si>
  <si>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</si>
  <si>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</si>
  <si>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</si>
  <si>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</si>
  <si>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</si>
  <si>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</si>
  <si>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</si>
  <si>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</si>
  <si>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</si>
  <si>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</si>
  <si>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</si>
  <si>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</si>
  <si>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</si>
  <si>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</si>
  <si>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</si>
  <si>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</si>
  <si>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</si>
  <si>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</si>
  <si>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</si>
  <si>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</si>
  <si>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</si>
  <si>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</si>
  <si>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</si>
  <si>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</si>
  <si>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</si>
  <si>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</si>
  <si>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</si>
  <si>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</si>
  <si>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</si>
  <si>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</si>
  <si>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</si>
  <si>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</si>
  <si>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</si>
  <si>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</si>
  <si>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</si>
  <si>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</si>
  <si>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</si>
  <si>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</si>
  <si>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</si>
  <si>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</si>
  <si>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</si>
  <si>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</si>
  <si>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</si>
  <si>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</si>
  <si>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</si>
  <si>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</si>
  <si>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</si>
  <si>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</si>
  <si>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</si>
  <si>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</si>
  <si>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</si>
  <si>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</si>
  <si>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</si>
  <si>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</si>
  <si>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</si>
  <si>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</si>
  <si>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</si>
  <si>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</si>
  <si>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</si>
  <si>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</si>
  <si>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</si>
  <si>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</si>
  <si>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</si>
  <si>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</si>
  <si>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</si>
  <si>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</si>
  <si>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</si>
  <si>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</si>
  <si>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</si>
  <si>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</si>
  <si>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</si>
  <si>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</si>
  <si>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</si>
  <si>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</si>
  <si>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</si>
  <si>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</si>
  <si>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</si>
  <si>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</si>
  <si>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</si>
  <si>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</si>
  <si>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</si>
  <si>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</si>
  <si>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</si>
  <si>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</si>
  <si>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</si>
  <si>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</si>
  <si>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</si>
  <si>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</si>
  <si>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</si>
  <si>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</si>
  <si>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</si>
  <si>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</si>
  <si>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</si>
  <si>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</si>
  <si>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</si>
  <si>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</si>
  <si>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</si>
  <si>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</si>
  <si>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</si>
  <si>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</si>
  <si>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</si>
  <si>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</si>
  <si>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</si>
  <si>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</si>
  <si>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</si>
  <si>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</si>
  <si>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</si>
  <si>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</si>
  <si>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</si>
  <si>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</si>
  <si>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</si>
  <si>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</si>
  <si>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</si>
  <si>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</si>
  <si>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</si>
  <si>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</si>
  <si>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</si>
  <si>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</si>
  <si>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</si>
  <si>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</si>
  <si>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</si>
  <si>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</si>
  <si>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</si>
  <si>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</si>
  <si>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</si>
  <si>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</si>
  <si>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</si>
  <si>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</si>
  <si>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</si>
  <si>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</si>
  <si>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</si>
  <si>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</si>
  <si>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</si>
  <si>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</si>
  <si>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</si>
  <si>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</si>
  <si>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</si>
  <si>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</si>
  <si>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</si>
  <si>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</si>
  <si>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</si>
  <si>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</si>
  <si>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</si>
  <si>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</si>
  <si>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</si>
  <si>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</si>
  <si>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</si>
  <si>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</si>
  <si>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</si>
  <si>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</si>
  <si>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</si>
  <si>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</si>
  <si>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</si>
  <si>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</si>
  <si>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</si>
  <si>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</si>
  <si>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</si>
  <si>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</si>
  <si>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</si>
  <si>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</si>
  <si>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</si>
  <si>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</si>
  <si>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</si>
  <si>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</si>
  <si>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</si>
  <si>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</si>
  <si>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</si>
  <si>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</si>
  <si>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</si>
  <si>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</si>
  <si>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</si>
  <si>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</si>
  <si>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</si>
  <si>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</si>
  <si>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</si>
  <si>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</si>
  <si>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</si>
  <si>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</si>
  <si>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</si>
  <si>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</si>
  <si>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</si>
  <si>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</si>
  <si>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</si>
  <si>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</si>
  <si>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</si>
  <si>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</si>
  <si>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</si>
  <si>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</si>
  <si>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</si>
  <si>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</si>
  <si>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</si>
  <si>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</si>
  <si>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</si>
  <si>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</si>
  <si>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</si>
  <si>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</si>
  <si>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</si>
  <si>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</si>
  <si>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</si>
  <si>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</si>
  <si>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</si>
  <si>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</si>
  <si>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</si>
  <si>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</si>
  <si>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</si>
  <si>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</si>
  <si>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</si>
  <si>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</si>
  <si>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</si>
  <si>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</si>
  <si>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</si>
  <si>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</si>
  <si>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</si>
  <si>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</si>
  <si>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</si>
  <si>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</si>
  <si>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</si>
  <si>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</si>
  <si>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</si>
  <si>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</si>
  <si>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</si>
  <si>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</si>
  <si>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</si>
  <si>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</si>
  <si>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</si>
  <si>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</si>
  <si>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</si>
  <si>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</si>
  <si>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</si>
  <si>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</si>
  <si>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</si>
  <si>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</si>
  <si>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</si>
  <si>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</si>
  <si>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</si>
  <si>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</si>
  <si>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</si>
  <si>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</si>
  <si>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</si>
  <si>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</si>
  <si>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</si>
  <si>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</si>
  <si>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</si>
  <si>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</si>
  <si>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</si>
  <si>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</si>
  <si>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</si>
  <si>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</si>
  <si>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</si>
  <si>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</si>
  <si>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</si>
  <si>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</si>
  <si>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</si>
  <si>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</si>
  <si>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</si>
  <si>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</si>
  <si>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</si>
  <si>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</si>
  <si>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</si>
  <si>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</si>
  <si>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</si>
  <si>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</si>
  <si>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</si>
  <si>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</si>
  <si>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</si>
  <si>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</si>
  <si>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</si>
  <si>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</si>
  <si>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</si>
  <si>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</si>
  <si>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</si>
  <si>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</si>
  <si>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</si>
  <si>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</si>
  <si>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</si>
  <si>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</si>
  <si>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</si>
  <si>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</si>
  <si>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</si>
  <si>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</si>
  <si>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</si>
  <si>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</si>
  <si>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</si>
  <si>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</si>
  <si>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</si>
  <si>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</si>
  <si>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</si>
  <si>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</si>
  <si>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</si>
  <si>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</si>
  <si>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</si>
  <si>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</si>
  <si>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</si>
  <si>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</si>
  <si>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</si>
  <si>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</si>
  <si>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</si>
  <si>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</si>
  <si>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</si>
  <si>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</si>
  <si>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</si>
  <si>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</si>
  <si>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</si>
  <si>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</si>
  <si>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</si>
  <si>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</si>
  <si>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</si>
  <si>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</si>
  <si>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</si>
  <si>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</si>
  <si>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</si>
  <si>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</si>
  <si>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</si>
  <si>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</si>
  <si>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</si>
  <si>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</si>
  <si>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</si>
  <si>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</si>
  <si>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</si>
  <si>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</si>
  <si>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</si>
  <si>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</si>
  <si>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</si>
  <si>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</si>
  <si>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</si>
  <si>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</si>
  <si>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</si>
  <si>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</si>
  <si>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</si>
  <si>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</si>
  <si>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</si>
  <si>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</si>
  <si>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</si>
  <si>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</si>
  <si>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</si>
  <si>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</si>
  <si>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</si>
  <si>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</si>
  <si>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</si>
  <si>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</si>
  <si>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</si>
  <si>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</si>
  <si>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</si>
  <si>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</si>
  <si>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</si>
  <si>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</si>
  <si>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</si>
  <si>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</si>
  <si>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</si>
  <si>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</si>
  <si>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</si>
  <si>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</si>
  <si>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</si>
  <si>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</si>
  <si>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</si>
  <si>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</si>
  <si>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</si>
  <si>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</si>
  <si>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</si>
  <si>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</si>
  <si>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</si>
  <si>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</si>
  <si>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</si>
  <si>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</si>
  <si>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</si>
  <si>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</si>
  <si>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</si>
  <si>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</si>
  <si>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</si>
  <si>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</si>
  <si>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</si>
  <si>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</si>
  <si>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</si>
  <si>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</si>
  <si>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</si>
  <si>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</si>
  <si>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</si>
  <si>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</si>
  <si>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</si>
  <si>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</si>
  <si>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</si>
  <si>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</si>
  <si>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</si>
  <si>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</si>
  <si>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</si>
  <si>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</si>
  <si>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</si>
  <si>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</si>
  <si>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</si>
  <si>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</si>
  <si>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</si>
  <si>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</si>
  <si>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</si>
  <si>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</si>
  <si>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</si>
  <si>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</si>
  <si>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</si>
  <si>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</si>
  <si>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</si>
  <si>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</si>
  <si>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</si>
  <si>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</si>
  <si>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</si>
  <si>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</si>
  <si>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</si>
  <si>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</si>
  <si>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</si>
  <si>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</si>
  <si>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</si>
  <si>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</si>
  <si>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</si>
  <si>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</si>
  <si>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</si>
  <si>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</si>
  <si>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</si>
  <si>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</si>
  <si>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</si>
  <si>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</si>
  <si>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</si>
  <si>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</si>
  <si>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</si>
  <si>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</si>
  <si>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</si>
  <si>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</si>
  <si>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</si>
  <si>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</si>
  <si>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</si>
  <si>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</si>
  <si>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</si>
  <si>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</si>
  <si>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</si>
  <si>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</si>
  <si>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</si>
  <si>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</si>
  <si>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</si>
  <si>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</si>
  <si>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</si>
  <si>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</si>
  <si>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</si>
  <si>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</si>
  <si>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</si>
  <si>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</si>
  <si>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</si>
  <si>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</si>
  <si>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</si>
  <si>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</si>
  <si>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</si>
  <si>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</si>
  <si>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</si>
  <si>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</si>
  <si>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</si>
  <si>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</si>
  <si>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</si>
  <si>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</si>
  <si>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</si>
  <si>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</si>
  <si>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</si>
  <si>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</si>
  <si>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</si>
  <si>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</si>
  <si>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</si>
  <si>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</si>
  <si>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</si>
  <si>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</si>
  <si>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</si>
  <si>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</si>
  <si>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</si>
  <si>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</si>
  <si>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</si>
  <si>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</si>
  <si>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</si>
  <si>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</si>
  <si>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</si>
  <si>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</si>
  <si>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</si>
  <si>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</si>
  <si>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</si>
  <si>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</si>
  <si>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</si>
  <si>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</si>
  <si>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</si>
  <si>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</si>
  <si>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</si>
  <si>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</si>
  <si>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</si>
  <si>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</si>
  <si>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</si>
  <si>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</si>
  <si>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</si>
  <si>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</si>
  <si>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</si>
  <si>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</si>
  <si>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</si>
  <si>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</si>
  <si>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</si>
  <si>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</si>
  <si>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</si>
  <si>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</si>
  <si>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</si>
  <si>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</si>
  <si>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</si>
  <si>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</si>
  <si>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</si>
  <si>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</si>
  <si>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</si>
  <si>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</si>
  <si>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</si>
  <si>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</si>
  <si>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</si>
  <si>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</si>
  <si>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</si>
  <si>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</si>
  <si>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</si>
  <si>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</si>
  <si>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</si>
  <si>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</si>
  <si>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</si>
  <si>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</si>
  <si>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</si>
  <si>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</si>
  <si>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</si>
  <si>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</si>
  <si>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</si>
  <si>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</si>
  <si>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</si>
  <si>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</si>
  <si>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</si>
  <si>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</si>
  <si>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</si>
  <si>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</si>
  <si>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</si>
  <si>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</si>
  <si>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</si>
  <si>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</si>
  <si>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</si>
  <si>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</si>
  <si>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</si>
  <si>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</si>
  <si>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</si>
  <si>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</si>
  <si>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</si>
  <si>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</si>
  <si>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</si>
  <si>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</si>
  <si>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</si>
  <si>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</si>
  <si>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</si>
  <si>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</si>
  <si>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</si>
  <si>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</si>
  <si>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</si>
  <si>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</si>
  <si>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</si>
  <si>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</si>
  <si>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</si>
  <si>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</si>
  <si>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</si>
  <si>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</si>
  <si>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</si>
  <si>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</si>
  <si>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</si>
  <si>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</si>
  <si>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</si>
  <si>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</si>
  <si>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</si>
  <si>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</si>
  <si>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</si>
  <si>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</si>
  <si>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</si>
  <si>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</si>
  <si>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</si>
  <si>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</si>
  <si>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</si>
  <si>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</si>
  <si>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</si>
  <si>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</si>
  <si>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</si>
  <si>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</si>
  <si>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</si>
  <si>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</si>
  <si>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</si>
  <si>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</si>
  <si>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</si>
  <si>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</si>
  <si>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</si>
  <si>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</si>
  <si>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</si>
  <si>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</si>
  <si>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</si>
  <si>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</si>
  <si>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</si>
  <si>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</si>
  <si>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</si>
  <si>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</si>
  <si>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</si>
  <si>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</si>
  <si>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</si>
  <si>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</si>
  <si>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</si>
  <si>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</si>
  <si>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</si>
  <si>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</si>
  <si>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</si>
  <si>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</si>
  <si>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</si>
  <si>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</si>
  <si>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</si>
  <si>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</si>
  <si>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</si>
  <si>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</si>
  <si>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</si>
  <si>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</si>
  <si>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</si>
  <si>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</si>
  <si>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</si>
  <si>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</si>
  <si>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</si>
  <si>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</si>
  <si>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</si>
  <si>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</si>
  <si>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</si>
  <si>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</si>
  <si>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</si>
  <si>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</si>
  <si>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</si>
  <si>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</si>
  <si>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</si>
  <si>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</si>
  <si>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</si>
  <si>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</si>
  <si>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</si>
  <si>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</si>
  <si>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</si>
  <si>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</si>
  <si>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</si>
  <si>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</si>
  <si>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</si>
  <si>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</si>
  <si>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</si>
  <si>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</si>
  <si>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</si>
  <si>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</si>
  <si>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</si>
  <si>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</si>
  <si>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</si>
  <si>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</si>
  <si>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</si>
  <si>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</si>
  <si>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</si>
  <si>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</si>
  <si>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</si>
  <si>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</si>
  <si>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</si>
  <si>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</si>
  <si>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</si>
  <si>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</si>
  <si>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</si>
  <si>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</si>
  <si>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</si>
  <si>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</si>
  <si>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</si>
  <si>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</si>
  <si>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</si>
  <si>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</si>
  <si>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</si>
  <si>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</si>
  <si>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</si>
  <si>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</si>
  <si>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</si>
  <si>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</si>
  <si>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</si>
  <si>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</si>
  <si>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</si>
  <si>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</si>
  <si>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</si>
  <si>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</si>
  <si>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</si>
  <si>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</si>
  <si>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</si>
  <si>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</si>
  <si>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</si>
  <si>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</si>
  <si>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</si>
  <si>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</si>
  <si>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</si>
  <si>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</si>
  <si>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</si>
  <si>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</si>
  <si>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</si>
  <si>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</si>
  <si>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</si>
  <si>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</si>
  <si>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</si>
  <si>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</si>
  <si>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</si>
  <si>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</si>
  <si>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</si>
  <si>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</si>
  <si>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</si>
  <si>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</si>
  <si>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</si>
  <si>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</si>
  <si>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</si>
  <si>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</si>
  <si>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</si>
  <si>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</si>
  <si>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</si>
  <si>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</si>
  <si>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</si>
  <si>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</si>
  <si>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</si>
  <si>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</si>
  <si>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</si>
  <si>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</si>
  <si>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</si>
  <si>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</si>
  <si>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</si>
  <si>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</si>
  <si>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</si>
  <si>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</si>
  <si>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</si>
  <si>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</si>
  <si>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</si>
  <si>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</si>
  <si>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</si>
  <si>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</si>
  <si>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</si>
  <si>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</si>
  <si>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</si>
  <si>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</si>
  <si>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</si>
  <si>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</si>
  <si>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</si>
  <si>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</si>
  <si>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</si>
  <si>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</si>
  <si>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</si>
  <si>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</si>
  <si>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</si>
  <si>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</si>
  <si>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</si>
  <si>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</si>
  <si>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</si>
  <si>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</si>
  <si>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</si>
  <si>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</si>
  <si>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</si>
  <si>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</si>
  <si>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</si>
  <si>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</si>
  <si>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</si>
  <si>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</si>
  <si>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</si>
  <si>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</si>
  <si>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</si>
  <si>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</si>
  <si>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</si>
  <si>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</si>
  <si>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</si>
  <si>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</si>
  <si>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</si>
  <si>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</si>
  <si>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</si>
  <si>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</si>
  <si>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</si>
  <si>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</si>
  <si>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</si>
  <si>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</si>
  <si>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</si>
  <si>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</si>
  <si>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</si>
  <si>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</si>
  <si>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</si>
  <si>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</si>
  <si>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</si>
  <si>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</si>
  <si>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</si>
  <si>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</si>
  <si>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</si>
  <si>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</si>
  <si>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</si>
  <si>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</si>
  <si>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</si>
  <si>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</si>
  <si>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</si>
  <si>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</si>
  <si>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</si>
  <si>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</si>
  <si>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</si>
  <si>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</si>
  <si>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</si>
  <si>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</si>
  <si>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</si>
  <si>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</si>
  <si>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</si>
  <si>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</si>
  <si>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</si>
  <si>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</si>
  <si>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</si>
  <si>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</si>
  <si>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</si>
  <si>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</si>
  <si>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</si>
  <si>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</si>
  <si>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</si>
  <si>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</si>
  <si>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</si>
  <si>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</si>
  <si>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</si>
  <si>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</si>
  <si>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</si>
  <si>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</si>
  <si>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</si>
  <si>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</si>
  <si>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</si>
  <si>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</si>
  <si>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</si>
  <si>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</si>
  <si>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</si>
  <si>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</si>
  <si>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</si>
  <si>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</si>
  <si>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</si>
  <si>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</si>
  <si>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</si>
  <si>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</si>
  <si>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</si>
  <si>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</si>
  <si>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</si>
  <si>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</si>
  <si>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</si>
  <si>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</si>
  <si>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</si>
  <si>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</si>
  <si>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</si>
  <si>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</si>
  <si>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</si>
  <si>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</si>
  <si>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</si>
  <si>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</si>
  <si>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</si>
  <si>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</si>
  <si>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</si>
  <si>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</si>
  <si>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</si>
  <si>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</si>
  <si>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</si>
  <si>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</si>
  <si>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</si>
  <si>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</si>
  <si>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</si>
  <si>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</si>
  <si>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</si>
  <si>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</si>
  <si>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</si>
  <si>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</si>
  <si>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</si>
  <si>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</si>
  <si>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</si>
  <si>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</si>
  <si>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</si>
  <si>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</si>
  <si>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</si>
  <si>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</si>
  <si>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</si>
  <si>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</si>
  <si>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</si>
  <si>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</si>
  <si>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</si>
  <si>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</si>
  <si>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35029</t>
  </si>
  <si>
    <t>DE_HAAN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</si>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</sst>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35029</v>
      </c>
      <c r="B6" s="397"/>
      <c r="C6" s="398"/>
    </row>
    <row r="7" spans="1:7" s="395" customFormat="1" ht="15.75" customHeight="1">
      <c r="A7" s="399" t="str">
        <f>txtMunicipality</f>
        <v>DE_HAAN</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35029</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6080</v>
      </c>
      <c r="C9" s="338">
        <v>6588</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2679</v>
      </c>
    </row>
    <row r="15" spans="1:6">
      <c r="A15" s="1260" t="s">
        <v>184</v>
      </c>
      <c r="B15" s="335">
        <v>451</v>
      </c>
    </row>
    <row r="16" spans="1:6">
      <c r="A16" s="1260" t="s">
        <v>6</v>
      </c>
      <c r="B16" s="335">
        <v>741</v>
      </c>
    </row>
    <row r="17" spans="1:6">
      <c r="A17" s="1260" t="s">
        <v>7</v>
      </c>
      <c r="B17" s="335">
        <v>412</v>
      </c>
    </row>
    <row r="18" spans="1:6">
      <c r="A18" s="1260" t="s">
        <v>8</v>
      </c>
      <c r="B18" s="335">
        <v>797</v>
      </c>
    </row>
    <row r="19" spans="1:6">
      <c r="A19" s="1260" t="s">
        <v>9</v>
      </c>
      <c r="B19" s="335">
        <v>735</v>
      </c>
    </row>
    <row r="20" spans="1:6">
      <c r="A20" s="1260" t="s">
        <v>10</v>
      </c>
      <c r="B20" s="335">
        <v>483</v>
      </c>
    </row>
    <row r="21" spans="1:6">
      <c r="A21" s="1260" t="s">
        <v>11</v>
      </c>
      <c r="B21" s="335">
        <v>2216</v>
      </c>
    </row>
    <row r="22" spans="1:6">
      <c r="A22" s="1260" t="s">
        <v>12</v>
      </c>
      <c r="B22" s="335">
        <v>4841</v>
      </c>
    </row>
    <row r="23" spans="1:6">
      <c r="A23" s="1260" t="s">
        <v>13</v>
      </c>
      <c r="B23" s="335">
        <v>92</v>
      </c>
    </row>
    <row r="24" spans="1:6">
      <c r="A24" s="1260" t="s">
        <v>14</v>
      </c>
      <c r="B24" s="335">
        <v>9</v>
      </c>
    </row>
    <row r="25" spans="1:6">
      <c r="A25" s="1260" t="s">
        <v>15</v>
      </c>
      <c r="B25" s="335">
        <v>641</v>
      </c>
    </row>
    <row r="26" spans="1:6">
      <c r="A26" s="1260" t="s">
        <v>16</v>
      </c>
      <c r="B26" s="335">
        <v>620</v>
      </c>
    </row>
    <row r="27" spans="1:6">
      <c r="A27" s="1260" t="s">
        <v>17</v>
      </c>
      <c r="B27" s="335">
        <v>385</v>
      </c>
    </row>
    <row r="28" spans="1:6" s="341" customFormat="1">
      <c r="A28" s="1261" t="s">
        <v>18</v>
      </c>
      <c r="B28" s="1261">
        <v>21461</v>
      </c>
    </row>
    <row r="29" spans="1:6">
      <c r="A29" s="1261" t="s">
        <v>910</v>
      </c>
      <c r="B29" s="1261">
        <v>165</v>
      </c>
      <c r="C29" s="341"/>
      <c r="D29" s="341"/>
      <c r="E29" s="341"/>
      <c r="F29" s="341"/>
    </row>
    <row r="30" spans="1:6">
      <c r="A30" s="1256" t="s">
        <v>911</v>
      </c>
      <c r="B30" s="1256">
        <v>41</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5</v>
      </c>
      <c r="F38" s="335">
        <v>25144.993342681501</v>
      </c>
    </row>
    <row r="39" spans="1:6">
      <c r="A39" s="1260" t="s">
        <v>30</v>
      </c>
      <c r="B39" s="1260" t="s">
        <v>31</v>
      </c>
      <c r="C39" s="335">
        <v>6251</v>
      </c>
      <c r="D39" s="335">
        <v>84774618.394483894</v>
      </c>
      <c r="E39" s="335">
        <v>11467</v>
      </c>
      <c r="F39" s="335">
        <v>35028669.902159803</v>
      </c>
    </row>
    <row r="40" spans="1:6">
      <c r="A40" s="1260" t="s">
        <v>30</v>
      </c>
      <c r="B40" s="1260" t="s">
        <v>29</v>
      </c>
      <c r="C40" s="335">
        <v>0</v>
      </c>
      <c r="D40" s="335">
        <v>0</v>
      </c>
      <c r="E40" s="335">
        <v>0</v>
      </c>
      <c r="F40" s="335">
        <v>0</v>
      </c>
    </row>
    <row r="41" spans="1:6">
      <c r="A41" s="1260" t="s">
        <v>32</v>
      </c>
      <c r="B41" s="1260" t="s">
        <v>33</v>
      </c>
      <c r="C41" s="335">
        <v>53</v>
      </c>
      <c r="D41" s="335">
        <v>1154211.39165265</v>
      </c>
      <c r="E41" s="335">
        <v>116</v>
      </c>
      <c r="F41" s="335">
        <v>661141.75473693199</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5</v>
      </c>
      <c r="D47" s="335">
        <v>58119.808135273597</v>
      </c>
      <c r="E47" s="335">
        <v>9</v>
      </c>
      <c r="F47" s="335">
        <v>77654.020469545503</v>
      </c>
    </row>
    <row r="48" spans="1:6">
      <c r="A48" s="1260" t="s">
        <v>32</v>
      </c>
      <c r="B48" s="1260" t="s">
        <v>29</v>
      </c>
      <c r="C48" s="335">
        <v>18</v>
      </c>
      <c r="D48" s="335">
        <v>1110101.3861146499</v>
      </c>
      <c r="E48" s="335">
        <v>33</v>
      </c>
      <c r="F48" s="335">
        <v>193191.91392705601</v>
      </c>
    </row>
    <row r="49" spans="1:6">
      <c r="A49" s="1260" t="s">
        <v>32</v>
      </c>
      <c r="B49" s="1260" t="s">
        <v>40</v>
      </c>
      <c r="C49" s="335">
        <v>0</v>
      </c>
      <c r="D49" s="335">
        <v>0</v>
      </c>
      <c r="E49" s="335">
        <v>0</v>
      </c>
      <c r="F49" s="335">
        <v>0</v>
      </c>
    </row>
    <row r="50" spans="1:6">
      <c r="A50" s="1260" t="s">
        <v>32</v>
      </c>
      <c r="B50" s="1260" t="s">
        <v>41</v>
      </c>
      <c r="C50" s="335">
        <v>7</v>
      </c>
      <c r="D50" s="335">
        <v>595147.81663447397</v>
      </c>
      <c r="E50" s="335">
        <v>16</v>
      </c>
      <c r="F50" s="335">
        <v>463405.86666311999</v>
      </c>
    </row>
    <row r="51" spans="1:6">
      <c r="A51" s="1260" t="s">
        <v>42</v>
      </c>
      <c r="B51" s="1260" t="s">
        <v>43</v>
      </c>
      <c r="C51" s="335">
        <v>3</v>
      </c>
      <c r="D51" s="335">
        <v>39368.5816064838</v>
      </c>
      <c r="E51" s="335">
        <v>46</v>
      </c>
      <c r="F51" s="335">
        <v>896543.85498667101</v>
      </c>
    </row>
    <row r="52" spans="1:6">
      <c r="A52" s="1260" t="s">
        <v>42</v>
      </c>
      <c r="B52" s="1260" t="s">
        <v>29</v>
      </c>
      <c r="C52" s="335">
        <v>2</v>
      </c>
      <c r="D52" s="335">
        <v>12480.1912051909</v>
      </c>
      <c r="E52" s="335">
        <v>10</v>
      </c>
      <c r="F52" s="335">
        <v>297615.50683231198</v>
      </c>
    </row>
    <row r="53" spans="1:6">
      <c r="A53" s="1260" t="s">
        <v>44</v>
      </c>
      <c r="B53" s="1260" t="s">
        <v>45</v>
      </c>
      <c r="C53" s="335">
        <v>234</v>
      </c>
      <c r="D53" s="335">
        <v>6634581.9221884497</v>
      </c>
      <c r="E53" s="335">
        <v>500</v>
      </c>
      <c r="F53" s="335">
        <v>1910106.14641158</v>
      </c>
    </row>
    <row r="54" spans="1:6">
      <c r="A54" s="1260" t="s">
        <v>46</v>
      </c>
      <c r="B54" s="1260" t="s">
        <v>47</v>
      </c>
      <c r="C54" s="335">
        <v>0</v>
      </c>
      <c r="D54" s="335">
        <v>0</v>
      </c>
      <c r="E54" s="335">
        <v>1</v>
      </c>
      <c r="F54" s="335">
        <v>1753560</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73</v>
      </c>
      <c r="D57" s="335">
        <v>2099228.0424873801</v>
      </c>
      <c r="E57" s="335">
        <v>125</v>
      </c>
      <c r="F57" s="335">
        <v>1701036.5224494</v>
      </c>
    </row>
    <row r="58" spans="1:6">
      <c r="A58" s="1260" t="s">
        <v>49</v>
      </c>
      <c r="B58" s="1260" t="s">
        <v>51</v>
      </c>
      <c r="C58" s="335">
        <v>21</v>
      </c>
      <c r="D58" s="335">
        <v>4785852.0387185197</v>
      </c>
      <c r="E58" s="335">
        <v>38</v>
      </c>
      <c r="F58" s="335">
        <v>1218890.3705312901</v>
      </c>
    </row>
    <row r="59" spans="1:6">
      <c r="A59" s="1260" t="s">
        <v>49</v>
      </c>
      <c r="B59" s="1260" t="s">
        <v>52</v>
      </c>
      <c r="C59" s="335">
        <v>75</v>
      </c>
      <c r="D59" s="335">
        <v>1417102.34873005</v>
      </c>
      <c r="E59" s="335">
        <v>191</v>
      </c>
      <c r="F59" s="335">
        <v>3235494.93202818</v>
      </c>
    </row>
    <row r="60" spans="1:6">
      <c r="A60" s="1260" t="s">
        <v>49</v>
      </c>
      <c r="B60" s="1260" t="s">
        <v>53</v>
      </c>
      <c r="C60" s="335">
        <v>159</v>
      </c>
      <c r="D60" s="335">
        <v>26326024.956041999</v>
      </c>
      <c r="E60" s="335">
        <v>306</v>
      </c>
      <c r="F60" s="335">
        <v>14687673.015167501</v>
      </c>
    </row>
    <row r="61" spans="1:6">
      <c r="A61" s="1260" t="s">
        <v>49</v>
      </c>
      <c r="B61" s="1260" t="s">
        <v>54</v>
      </c>
      <c r="C61" s="335">
        <v>274</v>
      </c>
      <c r="D61" s="335">
        <v>13337313.5334398</v>
      </c>
      <c r="E61" s="335">
        <v>918</v>
      </c>
      <c r="F61" s="335">
        <v>7081611.4032199103</v>
      </c>
    </row>
    <row r="62" spans="1:6">
      <c r="A62" s="1260" t="s">
        <v>49</v>
      </c>
      <c r="B62" s="1260" t="s">
        <v>55</v>
      </c>
      <c r="C62" s="335">
        <v>3</v>
      </c>
      <c r="D62" s="335">
        <v>305550.28384377598</v>
      </c>
      <c r="E62" s="335">
        <v>5</v>
      </c>
      <c r="F62" s="335">
        <v>303017.31450882298</v>
      </c>
    </row>
    <row r="63" spans="1:6">
      <c r="A63" s="1260" t="s">
        <v>49</v>
      </c>
      <c r="B63" s="1260" t="s">
        <v>29</v>
      </c>
      <c r="C63" s="335">
        <v>128</v>
      </c>
      <c r="D63" s="335">
        <v>7937262.6154322298</v>
      </c>
      <c r="E63" s="335">
        <v>143</v>
      </c>
      <c r="F63" s="335">
        <v>2772759.42355823</v>
      </c>
    </row>
    <row r="64" spans="1:6">
      <c r="A64" s="1260" t="s">
        <v>56</v>
      </c>
      <c r="B64" s="1260" t="s">
        <v>57</v>
      </c>
      <c r="C64" s="335">
        <v>0</v>
      </c>
      <c r="D64" s="335">
        <v>0</v>
      </c>
      <c r="E64" s="335">
        <v>0</v>
      </c>
      <c r="F64" s="335">
        <v>0</v>
      </c>
    </row>
    <row r="65" spans="1:6">
      <c r="A65" s="1260" t="s">
        <v>56</v>
      </c>
      <c r="B65" s="1260" t="s">
        <v>29</v>
      </c>
      <c r="C65" s="335">
        <v>4</v>
      </c>
      <c r="D65" s="335">
        <v>82697.5211870434</v>
      </c>
      <c r="E65" s="335">
        <v>5</v>
      </c>
      <c r="F65" s="335">
        <v>16597.953289319299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12</v>
      </c>
      <c r="F68" s="335">
        <v>1573876.57471429</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73752458</v>
      </c>
      <c r="E73" s="335">
        <v>65375260.158856399</v>
      </c>
    </row>
    <row r="74" spans="1:6">
      <c r="A74" s="1260" t="s">
        <v>64</v>
      </c>
      <c r="B74" s="1260" t="s">
        <v>772</v>
      </c>
      <c r="C74" s="1271" t="s">
        <v>766</v>
      </c>
      <c r="D74" s="335">
        <v>7602744.3965482423</v>
      </c>
      <c r="E74" s="335">
        <v>6925481.5746733025</v>
      </c>
    </row>
    <row r="75" spans="1:6">
      <c r="A75" s="1260" t="s">
        <v>65</v>
      </c>
      <c r="B75" s="1260" t="s">
        <v>771</v>
      </c>
      <c r="C75" s="1271" t="s">
        <v>767</v>
      </c>
      <c r="D75" s="335">
        <v>10473900</v>
      </c>
      <c r="E75" s="335">
        <v>10063587.912303498</v>
      </c>
    </row>
    <row r="76" spans="1:6">
      <c r="A76" s="1260" t="s">
        <v>65</v>
      </c>
      <c r="B76" s="1260" t="s">
        <v>772</v>
      </c>
      <c r="C76" s="1271" t="s">
        <v>768</v>
      </c>
      <c r="D76" s="335">
        <v>1247568.3965482425</v>
      </c>
      <c r="E76" s="335">
        <v>1248762.4273867668</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87999.206903514787</v>
      </c>
      <c r="C83" s="335">
        <v>83057.905014897449</v>
      </c>
    </row>
    <row r="84" spans="1:6">
      <c r="A84" s="1256" t="s">
        <v>337</v>
      </c>
      <c r="B84" s="338">
        <v>368377.09907727869</v>
      </c>
      <c r="C84" s="338">
        <v>372533.86676901963</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1500.8944672521511</v>
      </c>
    </row>
    <row r="92" spans="1:6">
      <c r="A92" s="1256" t="s">
        <v>69</v>
      </c>
      <c r="B92" s="338">
        <v>263.79063641417616</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2725</v>
      </c>
    </row>
    <row r="98" spans="1:6">
      <c r="A98" s="1260" t="s">
        <v>72</v>
      </c>
      <c r="B98" s="335">
        <v>0</v>
      </c>
    </row>
    <row r="99" spans="1:6">
      <c r="A99" s="1260" t="s">
        <v>73</v>
      </c>
      <c r="B99" s="335">
        <v>104</v>
      </c>
    </row>
    <row r="100" spans="1:6">
      <c r="A100" s="1260" t="s">
        <v>74</v>
      </c>
      <c r="B100" s="335">
        <v>935</v>
      </c>
    </row>
    <row r="101" spans="1:6">
      <c r="A101" s="1260" t="s">
        <v>75</v>
      </c>
      <c r="B101" s="335">
        <v>42</v>
      </c>
    </row>
    <row r="102" spans="1:6">
      <c r="A102" s="1260" t="s">
        <v>76</v>
      </c>
      <c r="B102" s="335">
        <v>139</v>
      </c>
    </row>
    <row r="103" spans="1:6">
      <c r="A103" s="1260" t="s">
        <v>77</v>
      </c>
      <c r="B103" s="335">
        <v>66</v>
      </c>
    </row>
    <row r="104" spans="1:6">
      <c r="A104" s="1260" t="s">
        <v>78</v>
      </c>
      <c r="B104" s="335">
        <v>967</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2</v>
      </c>
      <c r="C123" s="335">
        <v>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32</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73173.461667725278</v>
      </c>
      <c r="C3" s="44" t="s">
        <v>170</v>
      </c>
      <c r="D3" s="44"/>
      <c r="E3" s="157"/>
      <c r="F3" s="44"/>
      <c r="G3" s="44"/>
      <c r="H3" s="44"/>
      <c r="I3" s="44"/>
      <c r="J3" s="44"/>
      <c r="K3" s="97"/>
    </row>
    <row r="4" spans="1:11">
      <c r="A4" s="365" t="s">
        <v>171</v>
      </c>
      <c r="B4" s="50">
        <f>IF(ISERROR('SEAP template'!B69),0,'SEAP template'!B69)</f>
        <v>1764.6851036663272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0.21567026160821534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1753.56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1753.56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0.21567026160821534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378.19074394570208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35028.669902159803</v>
      </c>
      <c r="C5" s="18">
        <f>IF(ISERROR('Eigen informatie GS &amp; warmtenet'!B57),0,'Eigen informatie GS &amp; warmtenet'!B57)</f>
        <v>0</v>
      </c>
      <c r="D5" s="31">
        <f>(SUM(HH_hh_gas_kWh,HH_rest_gas_kWh)/1000)*0.902</f>
        <v>76466.705791824483</v>
      </c>
      <c r="E5" s="18">
        <f>B46*B57</f>
        <v>0</v>
      </c>
      <c r="F5" s="18">
        <f>B51*B62</f>
        <v>0</v>
      </c>
      <c r="G5" s="19"/>
      <c r="H5" s="18"/>
      <c r="I5" s="18"/>
      <c r="J5" s="18">
        <f>B50*B61+C50*C61</f>
        <v>0</v>
      </c>
      <c r="K5" s="18"/>
      <c r="L5" s="18"/>
      <c r="M5" s="18"/>
      <c r="N5" s="18">
        <f>B48*B59+C48*C59</f>
        <v>0</v>
      </c>
      <c r="O5" s="18">
        <f>B69*B70*B71</f>
        <v>64.096666666666678</v>
      </c>
      <c r="P5" s="18">
        <f>B77*B78*B79/1000-B77*B78*B79/1000/B80</f>
        <v>95.333333333333343</v>
      </c>
    </row>
    <row r="6" spans="1:16">
      <c r="A6" s="17" t="s">
        <v>639</v>
      </c>
      <c r="B6" s="831">
        <f>kWh_PV_kleiner_dan_10kW</f>
        <v>1500.8944672521511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36529.564369411957</v>
      </c>
      <c r="C8" s="22">
        <f>C5</f>
        <v>0</v>
      </c>
      <c r="D8" s="22">
        <f>D5</f>
        <v>76466.705791824483</v>
      </c>
      <c r="E8" s="22">
        <f>E5</f>
        <v>0</v>
      </c>
      <c r="F8" s="22">
        <f>F5</f>
        <v>0</v>
      </c>
      <c r="G8" s="22"/>
      <c r="H8" s="22"/>
      <c r="I8" s="22"/>
      <c r="J8" s="22">
        <f>J5</f>
        <v>0</v>
      </c>
      <c r="K8" s="22"/>
      <c r="L8" s="22">
        <f>L5</f>
        <v>0</v>
      </c>
      <c r="M8" s="22">
        <f>M5</f>
        <v>0</v>
      </c>
      <c r="N8" s="22">
        <f>N5</f>
        <v>0</v>
      </c>
      <c r="O8" s="22">
        <f>O5</f>
        <v>64.096666666666678</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0.21567026160821534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7878.3407039852191</v>
      </c>
      <c r="C12" s="24">
        <f ca="1">C10*C8</f>
        <v>0</v>
      </c>
      <c r="D12" s="24">
        <f>D8*D10</f>
        <v>15446.274569948546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2725</v>
      </c>
      <c r="C18" s="169" t="s">
        <v>111</v>
      </c>
      <c r="D18" s="231"/>
      <c r="E18" s="16"/>
    </row>
    <row r="19" spans="1:7">
      <c r="A19" s="174" t="s">
        <v>72</v>
      </c>
      <c r="B19" s="38">
        <f>aantalw2001_ander</f>
        <v>0</v>
      </c>
      <c r="C19" s="169" t="s">
        <v>111</v>
      </c>
      <c r="D19" s="232"/>
      <c r="E19" s="16"/>
    </row>
    <row r="20" spans="1:7">
      <c r="A20" s="174" t="s">
        <v>73</v>
      </c>
      <c r="B20" s="38">
        <f>aantalw2001_propaan</f>
        <v>104</v>
      </c>
      <c r="C20" s="170">
        <f>IF(ISERROR(B20/SUM($B$20,$B$21,$B$22)*100),0,B20/SUM($B$20,$B$21,$B$22)*100)</f>
        <v>9.6207215541165585</v>
      </c>
      <c r="D20" s="232"/>
      <c r="E20" s="16"/>
    </row>
    <row r="21" spans="1:7">
      <c r="A21" s="174" t="s">
        <v>74</v>
      </c>
      <c r="B21" s="38">
        <f>aantalw2001_elektriciteit</f>
        <v>935</v>
      </c>
      <c r="C21" s="170">
        <f>IF(ISERROR(B21/SUM($B$20,$B$21,$B$22)*100),0,B21/SUM($B$20,$B$21,$B$22)*100)</f>
        <v>86.493987049028675</v>
      </c>
      <c r="D21" s="232"/>
      <c r="E21" s="16"/>
    </row>
    <row r="22" spans="1:7">
      <c r="A22" s="174" t="s">
        <v>75</v>
      </c>
      <c r="B22" s="38">
        <f>aantalw2001_hout</f>
        <v>42</v>
      </c>
      <c r="C22" s="170">
        <f>IF(ISERROR(B22/SUM($B$20,$B$21,$B$22)*100),0,B22/SUM($B$20,$B$21,$B$22)*100)</f>
        <v>3.8852913968547642</v>
      </c>
      <c r="D22" s="232"/>
      <c r="E22" s="16"/>
    </row>
    <row r="23" spans="1:7">
      <c r="A23" s="174" t="s">
        <v>76</v>
      </c>
      <c r="B23" s="38">
        <f>aantalw2001_niet_gespec</f>
        <v>139</v>
      </c>
      <c r="C23" s="169" t="s">
        <v>111</v>
      </c>
      <c r="D23" s="231"/>
      <c r="E23" s="16"/>
    </row>
    <row r="24" spans="1:7">
      <c r="A24" s="174" t="s">
        <v>77</v>
      </c>
      <c r="B24" s="38">
        <f>aantalw2001_steenkool</f>
        <v>66</v>
      </c>
      <c r="C24" s="169" t="s">
        <v>111</v>
      </c>
      <c r="D24" s="232"/>
      <c r="E24" s="16"/>
    </row>
    <row r="25" spans="1:7">
      <c r="A25" s="174" t="s">
        <v>78</v>
      </c>
      <c r="B25" s="38">
        <f>aantalw2001_stookolie</f>
        <v>967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6080</v>
      </c>
      <c r="C28" s="37"/>
      <c r="D28" s="231"/>
    </row>
    <row r="29" spans="1:7" s="16" customFormat="1">
      <c r="A29" s="233" t="s">
        <v>666</v>
      </c>
      <c r="B29" s="38">
        <f>SUM(HH_hh_gas_aantal,HH_rest_gas_aantal)</f>
        <v>6251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6251</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6251</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31000.482981463338</v>
      </c>
      <c r="C5" s="18">
        <f>IF(ISERROR('Eigen informatie GS &amp; warmtenet'!B58),0,'Eigen informatie GS &amp; warmtenet'!B58)</f>
        <v>0</v>
      </c>
      <c r="D5" s="31">
        <f>SUM(D6:D12)</f>
        <v>50699.917104461761</v>
      </c>
      <c r="E5" s="18">
        <f>SUM(E6:E12)</f>
        <v>830.49831079327271</v>
      </c>
      <c r="F5" s="18">
        <f>SUM(F6:F12)</f>
        <v>6435.9902680799405</v>
      </c>
      <c r="G5" s="19"/>
      <c r="H5" s="18"/>
      <c r="I5" s="18"/>
      <c r="J5" s="18">
        <f>SUM(J6:J12)</f>
        <v>0</v>
      </c>
      <c r="K5" s="18"/>
      <c r="L5" s="18"/>
      <c r="M5" s="18"/>
      <c r="N5" s="18">
        <f>SUM(N6:N12)</f>
        <v>1194.2062438315722</v>
      </c>
      <c r="O5" s="18">
        <f>B38*B39*B40</f>
        <v>0</v>
      </c>
      <c r="P5" s="18">
        <f>B46*B47*B48/1000-B46*B47*B48/1000/B49</f>
        <v>0</v>
      </c>
      <c r="R5" s="33"/>
    </row>
    <row r="6" spans="1:18">
      <c r="A6" s="33" t="s">
        <v>54</v>
      </c>
      <c r="B6" s="38">
        <f>B26</f>
        <v>7081.6114032199102</v>
      </c>
      <c r="C6" s="34"/>
      <c r="D6" s="38">
        <f>IF(ISERROR(TER_kantoor_gas_kWh/1000),0,TER_kantoor_gas_kWh/1000)*0.902</f>
        <v>12030.256807162699</v>
      </c>
      <c r="E6" s="34">
        <f>$C$26*'E Balans VL '!I12/100/3.6*1000000</f>
        <v>11.62235958428716</v>
      </c>
      <c r="F6" s="34">
        <f>$C$26*('E Balans VL '!L12+'E Balans VL '!N12)/100/3.6*1000000</f>
        <v>834.75536317160163</v>
      </c>
      <c r="G6" s="35"/>
      <c r="H6" s="34"/>
      <c r="I6" s="34"/>
      <c r="J6" s="34">
        <f>$C$26*('E Balans VL '!D12+'E Balans VL '!E12)/100/3.6*1000000</f>
        <v>0</v>
      </c>
      <c r="K6" s="34"/>
      <c r="L6" s="34"/>
      <c r="M6" s="34"/>
      <c r="N6" s="34">
        <f>$C$26*'E Balans VL '!Y12/100/3.6*1000000</f>
        <v>1.4308060498452326</v>
      </c>
      <c r="O6" s="34"/>
      <c r="P6" s="34"/>
      <c r="R6" s="33"/>
    </row>
    <row r="7" spans="1:18">
      <c r="A7" s="33" t="s">
        <v>53</v>
      </c>
      <c r="B7" s="38">
        <f t="shared" ref="B7:B12" si="0">B27</f>
        <v>14687.6730151675</v>
      </c>
      <c r="C7" s="34"/>
      <c r="D7" s="38">
        <f>IF(ISERROR(TER_horeca_gas_kWh/1000),0,TER_horeca_gas_kWh/1000)*0.902</f>
        <v>23746.074510349881</v>
      </c>
      <c r="E7" s="34">
        <f>$C$27*'E Balans VL '!I9/100/3.6*1000000</f>
        <v>762.18394721089965</v>
      </c>
      <c r="F7" s="34">
        <f>$C$27*('E Balans VL '!L9+'E Balans VL '!N9)/100/3.6*1000000</f>
        <v>3351.7376394895837</v>
      </c>
      <c r="G7" s="35"/>
      <c r="H7" s="34"/>
      <c r="I7" s="34"/>
      <c r="J7" s="34">
        <f>$C$27*('E Balans VL '!D9+'E Balans VL '!E9)/100/3.6*1000000</f>
        <v>0</v>
      </c>
      <c r="K7" s="34"/>
      <c r="L7" s="34"/>
      <c r="M7" s="34"/>
      <c r="N7" s="34">
        <f>$C$27*'E Balans VL '!Y9/100/3.6*1000000</f>
        <v>1.5510115394818764</v>
      </c>
      <c r="O7" s="34"/>
      <c r="P7" s="34"/>
      <c r="R7" s="33"/>
    </row>
    <row r="8" spans="1:18">
      <c r="A8" s="6" t="s">
        <v>52</v>
      </c>
      <c r="B8" s="38">
        <f t="shared" si="0"/>
        <v>3235.4949320281798</v>
      </c>
      <c r="C8" s="34"/>
      <c r="D8" s="38">
        <f>IF(ISERROR(TER_handel_gas_kWh/1000),0,TER_handel_gas_kWh/1000)*0.902</f>
        <v>1278.226318554505</v>
      </c>
      <c r="E8" s="34">
        <f>$C$28*'E Balans VL '!I13/100/3.6*1000000</f>
        <v>17.423537798454984</v>
      </c>
      <c r="F8" s="34">
        <f>$C$28*('E Balans VL '!L13+'E Balans VL '!N13)/100/3.6*1000000</f>
        <v>659.81356688998414</v>
      </c>
      <c r="G8" s="35"/>
      <c r="H8" s="34"/>
      <c r="I8" s="34"/>
      <c r="J8" s="34">
        <f>$C$28*('E Balans VL '!D13+'E Balans VL '!E13)/100/3.6*1000000</f>
        <v>0</v>
      </c>
      <c r="K8" s="34"/>
      <c r="L8" s="34"/>
      <c r="M8" s="34"/>
      <c r="N8" s="34">
        <f>$C$28*'E Balans VL '!Y13/100/3.6*1000000</f>
        <v>16.088407681055372</v>
      </c>
      <c r="O8" s="34"/>
      <c r="P8" s="34"/>
      <c r="R8" s="33"/>
    </row>
    <row r="9" spans="1:18">
      <c r="A9" s="33" t="s">
        <v>51</v>
      </c>
      <c r="B9" s="38">
        <f t="shared" si="0"/>
        <v>1218.89037053129</v>
      </c>
      <c r="C9" s="34"/>
      <c r="D9" s="38">
        <f>IF(ISERROR(TER_gezond_gas_kWh/1000),0,TER_gezond_gas_kWh/1000)*0.902</f>
        <v>4316.8385389241048</v>
      </c>
      <c r="E9" s="34">
        <f>$C$29*'E Balans VL '!I10/100/3.6*1000000</f>
        <v>1.2079342183604362</v>
      </c>
      <c r="F9" s="34">
        <f>$C$29*('E Balans VL '!L10+'E Balans VL '!N10)/100/3.6*1000000</f>
        <v>422.91982540728839</v>
      </c>
      <c r="G9" s="35"/>
      <c r="H9" s="34"/>
      <c r="I9" s="34"/>
      <c r="J9" s="34">
        <f>$C$29*('E Balans VL '!D10+'E Balans VL '!E10)/100/3.6*1000000</f>
        <v>0</v>
      </c>
      <c r="K9" s="34"/>
      <c r="L9" s="34"/>
      <c r="M9" s="34"/>
      <c r="N9" s="34">
        <f>$C$29*'E Balans VL '!Y10/100/3.6*1000000</f>
        <v>10.503072730901566</v>
      </c>
      <c r="O9" s="34"/>
      <c r="P9" s="34"/>
      <c r="R9" s="33"/>
    </row>
    <row r="10" spans="1:18">
      <c r="A10" s="33" t="s">
        <v>50</v>
      </c>
      <c r="B10" s="38">
        <f t="shared" si="0"/>
        <v>1701.0365224494001</v>
      </c>
      <c r="C10" s="34"/>
      <c r="D10" s="38">
        <f>IF(ISERROR(TER_ander_gas_kWh/1000),0,TER_ander_gas_kWh/1000)*0.902</f>
        <v>1893.5036943236171</v>
      </c>
      <c r="E10" s="34">
        <f>$C$30*'E Balans VL '!I14/100/3.6*1000000</f>
        <v>13.916178818565333</v>
      </c>
      <c r="F10" s="34">
        <f>$C$30*('E Balans VL '!L14+'E Balans VL '!N14)/100/3.6*1000000</f>
        <v>497.31382709919751</v>
      </c>
      <c r="G10" s="35"/>
      <c r="H10" s="34"/>
      <c r="I10" s="34"/>
      <c r="J10" s="34">
        <f>$C$30*('E Balans VL '!D14+'E Balans VL '!E14)/100/3.6*1000000</f>
        <v>0</v>
      </c>
      <c r="K10" s="34"/>
      <c r="L10" s="34"/>
      <c r="M10" s="34"/>
      <c r="N10" s="34">
        <f>$C$30*'E Balans VL '!Y14/100/3.6*1000000</f>
        <v>981.27487860283679</v>
      </c>
      <c r="O10" s="34"/>
      <c r="P10" s="34"/>
      <c r="R10" s="33"/>
    </row>
    <row r="11" spans="1:18">
      <c r="A11" s="33" t="s">
        <v>55</v>
      </c>
      <c r="B11" s="38">
        <f t="shared" si="0"/>
        <v>303.01731450882301</v>
      </c>
      <c r="C11" s="34"/>
      <c r="D11" s="38">
        <f>IF(ISERROR(TER_onderwijs_gas_kWh/1000),0,TER_onderwijs_gas_kWh/1000)*0.902</f>
        <v>275.60635602708589</v>
      </c>
      <c r="E11" s="34">
        <f>$C$31*'E Balans VL '!I11/100/3.6*1000000</f>
        <v>0.18676708709336476</v>
      </c>
      <c r="F11" s="34">
        <f>$C$31*('E Balans VL '!L11+'E Balans VL '!N11)/100/3.6*1000000</f>
        <v>117.1514010543161</v>
      </c>
      <c r="G11" s="35"/>
      <c r="H11" s="34"/>
      <c r="I11" s="34"/>
      <c r="J11" s="34">
        <f>$C$31*('E Balans VL '!D11+'E Balans VL '!E11)/100/3.6*1000000</f>
        <v>0</v>
      </c>
      <c r="K11" s="34"/>
      <c r="L11" s="34"/>
      <c r="M11" s="34"/>
      <c r="N11" s="34">
        <f>$C$31*'E Balans VL '!Y11/100/3.6*1000000</f>
        <v>0.98565038887316259</v>
      </c>
      <c r="O11" s="34"/>
      <c r="P11" s="34"/>
      <c r="R11" s="33"/>
    </row>
    <row r="12" spans="1:18">
      <c r="A12" s="33" t="s">
        <v>260</v>
      </c>
      <c r="B12" s="38">
        <f t="shared" si="0"/>
        <v>2772.7594235582301</v>
      </c>
      <c r="C12" s="34"/>
      <c r="D12" s="38">
        <f>IF(ISERROR(TER_rest_gas_kWh/1000),0,TER_rest_gas_kWh/1000)*0.902</f>
        <v>7159.4108791198714</v>
      </c>
      <c r="E12" s="34">
        <f>$C$32*'E Balans VL '!I8/100/3.6*1000000</f>
        <v>23.957586075611733</v>
      </c>
      <c r="F12" s="34">
        <f>$C$32*('E Balans VL '!L8+'E Balans VL '!N8)/100/3.6*1000000</f>
        <v>552.29864496796949</v>
      </c>
      <c r="G12" s="35"/>
      <c r="H12" s="34"/>
      <c r="I12" s="34"/>
      <c r="J12" s="34">
        <f>$C$32*('E Balans VL '!D8+'E Balans VL '!E8)/100/3.6*1000000</f>
        <v>0</v>
      </c>
      <c r="K12" s="34"/>
      <c r="L12" s="34"/>
      <c r="M12" s="34"/>
      <c r="N12" s="34">
        <f>$C$32*'E Balans VL '!Y8/100/3.6*1000000</f>
        <v>182.37241683857832</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31000.482981463338</v>
      </c>
      <c r="C16" s="22">
        <f t="shared" ca="1" si="1"/>
        <v>0</v>
      </c>
      <c r="D16" s="22">
        <f t="shared" ca="1" si="1"/>
        <v>50699.917104461761</v>
      </c>
      <c r="E16" s="22">
        <f t="shared" si="1"/>
        <v>830.49831079327271</v>
      </c>
      <c r="F16" s="22">
        <f t="shared" ca="1" si="1"/>
        <v>6435.9902680799405</v>
      </c>
      <c r="G16" s="22">
        <f t="shared" si="1"/>
        <v>0</v>
      </c>
      <c r="H16" s="22">
        <f t="shared" si="1"/>
        <v>0</v>
      </c>
      <c r="I16" s="22">
        <f t="shared" si="1"/>
        <v>0</v>
      </c>
      <c r="J16" s="22">
        <f t="shared" si="1"/>
        <v>0</v>
      </c>
      <c r="K16" s="22">
        <f t="shared" si="1"/>
        <v>0</v>
      </c>
      <c r="L16" s="22">
        <f t="shared" ca="1" si="1"/>
        <v>0</v>
      </c>
      <c r="M16" s="22">
        <f t="shared" si="1"/>
        <v>0</v>
      </c>
      <c r="N16" s="22">
        <f t="shared" ca="1" si="1"/>
        <v>1194.2062438315722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0.21567026160821534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6685.8822745932257</v>
      </c>
      <c r="C20" s="24">
        <f t="shared" ref="C20:P20" ca="1" si="2">C16*C18</f>
        <v>0</v>
      </c>
      <c r="D20" s="24">
        <f t="shared" ca="1" si="2"/>
        <v>10241.383255101277</v>
      </c>
      <c r="E20" s="24">
        <f t="shared" si="2"/>
        <v>188.5231165500729</v>
      </c>
      <c r="F20" s="24">
        <f t="shared" ca="1" si="2"/>
        <v>1718.4094015773442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7081.6114032199102</v>
      </c>
      <c r="C26" s="40">
        <f>IF(ISERROR(B26*3.6/1000000/'E Balans VL '!Z12*100),0,B26*3.6/1000000/'E Balans VL '!Z12*100)</f>
        <v>0.1504791638750464</v>
      </c>
      <c r="D26" s="240" t="s">
        <v>707</v>
      </c>
      <c r="F26" s="6"/>
    </row>
    <row r="27" spans="1:18">
      <c r="A27" s="234" t="s">
        <v>53</v>
      </c>
      <c r="B27" s="34">
        <f>IF(ISERROR(TER_horeca_ele_kWh/1000),0,TER_horeca_ele_kWh/1000)</f>
        <v>14687.6730151675</v>
      </c>
      <c r="C27" s="40">
        <f>IF(ISERROR(B27*3.6/1000000/'E Balans VL '!Z9*100),0,B27*3.6/1000000/'E Balans VL '!Z9*100)</f>
        <v>1.156033445576554</v>
      </c>
      <c r="D27" s="240" t="s">
        <v>707</v>
      </c>
      <c r="F27" s="6"/>
    </row>
    <row r="28" spans="1:18">
      <c r="A28" s="174" t="s">
        <v>52</v>
      </c>
      <c r="B28" s="34">
        <f>IF(ISERROR(TER_handel_ele_kWh/1000),0,TER_handel_ele_kWh/1000)</f>
        <v>3235.4949320281798</v>
      </c>
      <c r="C28" s="40">
        <f>IF(ISERROR(B28*3.6/1000000/'E Balans VL '!Z13*100),0,B28*3.6/1000000/'E Balans VL '!Z13*100)</f>
        <v>9.0627944614635123E-2</v>
      </c>
      <c r="D28" s="240" t="s">
        <v>707</v>
      </c>
      <c r="F28" s="6"/>
    </row>
    <row r="29" spans="1:18">
      <c r="A29" s="234" t="s">
        <v>51</v>
      </c>
      <c r="B29" s="34">
        <f>IF(ISERROR(TER_gezond_ele_kWh/1000),0,TER_gezond_ele_kWh/1000)</f>
        <v>1218.89037053129</v>
      </c>
      <c r="C29" s="40">
        <f>IF(ISERROR(B29*3.6/1000000/'E Balans VL '!Z10*100),0,B29*3.6/1000000/'E Balans VL '!Z10*100)</f>
        <v>0.155932936151333</v>
      </c>
      <c r="D29" s="240" t="s">
        <v>707</v>
      </c>
      <c r="F29" s="6"/>
    </row>
    <row r="30" spans="1:18">
      <c r="A30" s="234" t="s">
        <v>50</v>
      </c>
      <c r="B30" s="34">
        <f>IF(ISERROR(TER_ander_ele_kWh/1000),0,TER_ander_ele_kWh/1000)</f>
        <v>1701.0365224494001</v>
      </c>
      <c r="C30" s="40">
        <f>IF(ISERROR(B30*3.6/1000000/'E Balans VL '!Z14*100),0,B30*3.6/1000000/'E Balans VL '!Z14*100)</f>
        <v>0.12722319869509199</v>
      </c>
      <c r="D30" s="240" t="s">
        <v>707</v>
      </c>
      <c r="F30" s="6"/>
    </row>
    <row r="31" spans="1:18">
      <c r="A31" s="234" t="s">
        <v>55</v>
      </c>
      <c r="B31" s="34">
        <f>IF(ISERROR(TER_onderwijs_ele_kWh/1000),0,TER_onderwijs_ele_kWh/1000)</f>
        <v>303.01731450882301</v>
      </c>
      <c r="C31" s="40">
        <f>IF(ISERROR(B31*3.6/1000000/'E Balans VL '!Z11*100),0,B31*3.6/1000000/'E Balans VL '!Z11*100)</f>
        <v>6.3982498466287743E-2</v>
      </c>
      <c r="D31" s="240" t="s">
        <v>707</v>
      </c>
    </row>
    <row r="32" spans="1:18">
      <c r="A32" s="234" t="s">
        <v>260</v>
      </c>
      <c r="B32" s="34">
        <f>IF(ISERROR(TER_rest_ele_kWh/1000),0,TER_rest_ele_kWh/1000)</f>
        <v>2772.7594235582301</v>
      </c>
      <c r="C32" s="40">
        <f>IF(ISERROR(B32*3.6/1000000/'E Balans VL '!Z8*100),0,B32*3.6/1000000/'E Balans VL '!Z8*100)</f>
        <v>2.2841803765080351E-2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1395.3935557966533</v>
      </c>
      <c r="C5" s="18">
        <f>IF(ISERROR('Eigen informatie GS &amp; warmtenet'!B59),0,'Eigen informatie GS &amp; warmtenet'!B59)</f>
        <v>0</v>
      </c>
      <c r="D5" s="31">
        <f>SUM(D6:D15)</f>
        <v>2631.6575230884168</v>
      </c>
      <c r="E5" s="18">
        <f>SUM(E6:E15)</f>
        <v>12.758961511020196</v>
      </c>
      <c r="F5" s="18">
        <f>SUM(F6:F15)</f>
        <v>628.30741319727395</v>
      </c>
      <c r="G5" s="19"/>
      <c r="H5" s="18"/>
      <c r="I5" s="18"/>
      <c r="J5" s="18">
        <f>SUM(J6:J15)</f>
        <v>1.0358809380135263</v>
      </c>
      <c r="K5" s="18"/>
      <c r="L5" s="18"/>
      <c r="M5" s="18"/>
      <c r="N5" s="18">
        <f>SUM(N6:N15)</f>
        <v>91.458523836670153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661.14175473693194</v>
      </c>
      <c r="C9" s="34"/>
      <c r="D9" s="38">
        <f>IF( ISERROR(IND_andere_gas_kWh/1000),0,IND_andere_gas_kWh/1000)*0.902</f>
        <v>1041.0986752706904</v>
      </c>
      <c r="E9" s="34">
        <f>C31*'E Balans VL '!I19/100/3.6*1000000</f>
        <v>3.8214981418427136</v>
      </c>
      <c r="F9" s="34">
        <f>C31*'E Balans VL '!L19/100/3.6*1000000+C31*'E Balans VL '!N19/100/3.6*1000000</f>
        <v>525.97007877558508</v>
      </c>
      <c r="G9" s="35"/>
      <c r="H9" s="34"/>
      <c r="I9" s="34"/>
      <c r="J9" s="41">
        <f>C31*'E Balans VL '!D19/100/3.6*1000000+C31*'E Balans VL '!E19/100/3.6*1000000</f>
        <v>6.2536666243505151E-2</v>
      </c>
      <c r="K9" s="34"/>
      <c r="L9" s="34"/>
      <c r="M9" s="34"/>
      <c r="N9" s="34">
        <f>C31*'E Balans VL '!Y19/100/3.6*1000000</f>
        <v>50.091493182633151</v>
      </c>
      <c r="O9" s="34"/>
      <c r="P9" s="34"/>
      <c r="R9" s="33"/>
    </row>
    <row r="10" spans="1:18">
      <c r="A10" s="6" t="s">
        <v>41</v>
      </c>
      <c r="B10" s="38">
        <f t="shared" si="0"/>
        <v>463.40586666311998</v>
      </c>
      <c r="C10" s="34"/>
      <c r="D10" s="38">
        <f>IF( ISERROR(IND_voed_gas_kWh/1000),0,IND_voed_gas_kWh/1000)*0.902</f>
        <v>536.82333060429551</v>
      </c>
      <c r="E10" s="34">
        <f>C32*'E Balans VL '!I20/100/3.6*1000000</f>
        <v>4.5564920091657841</v>
      </c>
      <c r="F10" s="34">
        <f>C32*'E Balans VL '!L20/100/3.6*1000000+C32*'E Balans VL '!N20/100/3.6*1000000</f>
        <v>51.467270164926006</v>
      </c>
      <c r="G10" s="35"/>
      <c r="H10" s="34"/>
      <c r="I10" s="34"/>
      <c r="J10" s="41">
        <f>C32*'E Balans VL '!D20/100/3.6*1000000+C32*'E Balans VL '!E20/100/3.6*1000000</f>
        <v>1.8264928941241565E-3</v>
      </c>
      <c r="K10" s="34"/>
      <c r="L10" s="34"/>
      <c r="M10" s="34"/>
      <c r="N10" s="34">
        <f>C32*'E Balans VL '!Y20/100/3.6*1000000</f>
        <v>6.861950839783197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77.6540204695455</v>
      </c>
      <c r="C13" s="34"/>
      <c r="D13" s="38">
        <f>IF( ISERROR(IND_papier_gas_kWh/1000),0,IND_papier_gas_kWh/1000)*0.902</f>
        <v>52.424066938016786</v>
      </c>
      <c r="E13" s="34">
        <f>C35*'E Balans VL '!I23/100/3.6*1000000</f>
        <v>2.6450085282431068</v>
      </c>
      <c r="F13" s="34">
        <f>C35*'E Balans VL '!L23/100/3.6*1000000+C35*'E Balans VL '!N23/100/3.6*1000000</f>
        <v>12.826621680938857</v>
      </c>
      <c r="G13" s="35"/>
      <c r="H13" s="34"/>
      <c r="I13" s="34"/>
      <c r="J13" s="41">
        <f>C35*'E Balans VL '!D23/100/3.6*1000000+C35*'E Balans VL '!E23/100/3.6*1000000</f>
        <v>0</v>
      </c>
      <c r="K13" s="34"/>
      <c r="L13" s="34"/>
      <c r="M13" s="34"/>
      <c r="N13" s="34">
        <f>C35*'E Balans VL '!Y23/100/3.6*1000000</f>
        <v>28.574597013400755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193.19191392705602</v>
      </c>
      <c r="C15" s="34"/>
      <c r="D15" s="38">
        <f>IF( ISERROR(IND_rest_gas_kWh/1000),0,IND_rest_gas_kWh/1000)*0.902</f>
        <v>1001.3114502754144</v>
      </c>
      <c r="E15" s="34">
        <f>C37*'E Balans VL '!I15/100/3.6*1000000</f>
        <v>1.735962831768592</v>
      </c>
      <c r="F15" s="34">
        <f>C37*'E Balans VL '!L15/100/3.6*1000000+C37*'E Balans VL '!N15/100/3.6*1000000</f>
        <v>38.043442575823981</v>
      </c>
      <c r="G15" s="35"/>
      <c r="H15" s="34"/>
      <c r="I15" s="34"/>
      <c r="J15" s="41">
        <f>C37*'E Balans VL '!D15/100/3.6*1000000+C37*'E Balans VL '!E15/100/3.6*1000000</f>
        <v>0.97151777887589708</v>
      </c>
      <c r="K15" s="34"/>
      <c r="L15" s="34"/>
      <c r="M15" s="34"/>
      <c r="N15" s="34">
        <f>C37*'E Balans VL '!Y15/100/3.6*1000000</f>
        <v>5.9304828008530555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1395.3935557966533</v>
      </c>
      <c r="C18" s="22">
        <f>C5+C16</f>
        <v>0</v>
      </c>
      <c r="D18" s="22">
        <f>MAX((D5+D16),0)</f>
        <v>2631.6575230884168</v>
      </c>
      <c r="E18" s="22">
        <f>MAX((E5+E16),0)</f>
        <v>12.758961511020196</v>
      </c>
      <c r="F18" s="22">
        <f>MAX((F5+F16),0)</f>
        <v>628.30741319727395</v>
      </c>
      <c r="G18" s="22"/>
      <c r="H18" s="22"/>
      <c r="I18" s="22"/>
      <c r="J18" s="22">
        <f>MAX((J5+J16),0)</f>
        <v>1.0358809380135263</v>
      </c>
      <c r="K18" s="22"/>
      <c r="L18" s="22">
        <f>MAX((L5+L16),0)</f>
        <v>0</v>
      </c>
      <c r="M18" s="22"/>
      <c r="N18" s="22">
        <f>MAX((N5+N16),0)</f>
        <v>91.458523836670153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0.21567026160821534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300.94489322508207</v>
      </c>
      <c r="C22" s="24">
        <f ca="1">C18*C20</f>
        <v>0</v>
      </c>
      <c r="D22" s="24">
        <f>D18*D20</f>
        <v>531.59481966386022</v>
      </c>
      <c r="E22" s="24">
        <f>E18*E20</f>
        <v>2.8962842630015846</v>
      </c>
      <c r="F22" s="24">
        <f>F18*F20</f>
        <v>167.75807932367215</v>
      </c>
      <c r="G22" s="24"/>
      <c r="H22" s="24"/>
      <c r="I22" s="24"/>
      <c r="J22" s="24">
        <f>J18*J20</f>
        <v>0.36670185205678829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661.14175473693194</v>
      </c>
      <c r="C31" s="40">
        <f>IF(ISERROR(B31*3.6/1000000/'E Balans VL '!Z19*100),0,B31*3.6/1000000/'E Balans VL '!Z19*100)</f>
        <v>3.0734743819333596E-2</v>
      </c>
      <c r="D31" s="240" t="s">
        <v>707</v>
      </c>
    </row>
    <row r="32" spans="1:18">
      <c r="A32" s="174" t="s">
        <v>41</v>
      </c>
      <c r="B32" s="38">
        <f>IF( ISERROR(IND_voed_ele_kWh/1000),0,IND_voed_ele_kWh/1000)</f>
        <v>463.40586666311998</v>
      </c>
      <c r="C32" s="40">
        <f>IF(ISERROR(B32*3.6/1000000/'E Balans VL '!Z20*100),0,B32*3.6/1000000/'E Balans VL '!Z20*100)</f>
        <v>1.6380461498758308E-2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77.6540204695455</v>
      </c>
      <c r="C35" s="40">
        <f>IF(ISERROR(B35*3.6/1000000/'E Balans VL '!Z22*100),0,B35*3.6/1000000/'E Balans VL '!Z22*100)</f>
        <v>1.5606268344980792E-2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193.19191392705602</v>
      </c>
      <c r="C37" s="40">
        <f>IF(ISERROR(B37*3.6/1000000/'E Balans VL '!Z15*100),0,B37*3.6/1000000/'E Balans VL '!Z15*100)</f>
        <v>1.4588843377610218E-3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1194.1593618189829</v>
      </c>
      <c r="C5" s="18">
        <f>'Eigen informatie GS &amp; warmtenet'!B60</f>
        <v>0</v>
      </c>
      <c r="D5" s="31">
        <f>IF(ISERROR(SUM(LB_lb_gas_kWh,LB_rest_gas_kWh,onbekend_gas_kWh)/1000),0,SUM(LB_lb_gas_kWh,LB_rest_gas_kWh,onbekend_gas_kWh)/1000)*0.902</f>
        <v>6031.1604868901122</v>
      </c>
      <c r="E5" s="18">
        <f>B17*'E Balans VL '!I25/3.6*1000000/100</f>
        <v>11.249781301353421</v>
      </c>
      <c r="F5" s="18">
        <f>B17*('E Balans VL '!L25/3.6*1000000+'E Balans VL '!N25/3.6*1000000)/100</f>
        <v>3896.9383043025828</v>
      </c>
      <c r="G5" s="19"/>
      <c r="H5" s="18"/>
      <c r="I5" s="18"/>
      <c r="J5" s="18">
        <f>('E Balans VL '!D25+'E Balans VL '!E25)/3.6*1000000*landbouw!B17/100</f>
        <v>147.72332144702833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1194.1593618189829</v>
      </c>
      <c r="C8" s="22">
        <f>C5+C6</f>
        <v>0</v>
      </c>
      <c r="D8" s="22">
        <f>MAX((D5+D6),0)</f>
        <v>6031.1604868901122</v>
      </c>
      <c r="E8" s="22">
        <f>MAX((E5+E6),0)</f>
        <v>11.249781301353421</v>
      </c>
      <c r="F8" s="22">
        <f>MAX((F5+F6),0)</f>
        <v>3896.9383043025828</v>
      </c>
      <c r="G8" s="22"/>
      <c r="H8" s="22"/>
      <c r="I8" s="22"/>
      <c r="J8" s="22">
        <f>MAX((J5+J6),0)</f>
        <v>147.72332144702833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0.21567026160821534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257.54466196539954</v>
      </c>
      <c r="C12" s="24">
        <f ca="1">C8*C10</f>
        <v>0</v>
      </c>
      <c r="D12" s="24">
        <f>D8*D10</f>
        <v>1218.2944183518027</v>
      </c>
      <c r="E12" s="24">
        <f>E8*E10</f>
        <v>2.5537003554072268</v>
      </c>
      <c r="F12" s="24">
        <f>F8*F10</f>
        <v>1040.4825272487897</v>
      </c>
      <c r="G12" s="24"/>
      <c r="H12" s="24"/>
      <c r="I12" s="24"/>
      <c r="J12" s="24">
        <f>J8*J10</f>
        <v>52.294055792248024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0.16167009553368394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251.77380503872394</v>
      </c>
      <c r="C26" s="250">
        <f>B26*'GWP N2O_CH4'!B5</f>
        <v>5287.2499058132025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76.370303355783065</v>
      </c>
      <c r="C27" s="250">
        <f>B27*'GWP N2O_CH4'!B5</f>
        <v>1603.7763704714444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3.6537879597030036</v>
      </c>
      <c r="C28" s="250">
        <f>B28*'GWP N2O_CH4'!B4</f>
        <v>1132.6742675079311</v>
      </c>
      <c r="D28" s="51"/>
    </row>
    <row r="29" spans="1:4">
      <c r="A29" s="42" t="s">
        <v>277</v>
      </c>
      <c r="B29" s="250">
        <f>B34*'ha_N2O bodem landbouw'!B4</f>
        <v>14.775662444242313</v>
      </c>
      <c r="C29" s="250">
        <f>B29*'GWP N2O_CH4'!B4</f>
        <v>4580.4553577151173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3.9889637181489664E-3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6.3796499529796857E-6</v>
      </c>
      <c r="C5" s="447" t="s">
        <v>211</v>
      </c>
      <c r="D5" s="432">
        <f>SUM(D6:D11)</f>
        <v>1.7117789296957111E-5</v>
      </c>
      <c r="E5" s="432">
        <f>SUM(E6:E11)</f>
        <v>9.9763558595068595E-4</v>
      </c>
      <c r="F5" s="445" t="s">
        <v>211</v>
      </c>
      <c r="G5" s="432">
        <f>SUM(G6:G11)</f>
        <v>0.22947647927605141</v>
      </c>
      <c r="H5" s="432">
        <f>SUM(H6:H11)</f>
        <v>3.8143846336674572E-2</v>
      </c>
      <c r="I5" s="447" t="s">
        <v>211</v>
      </c>
      <c r="J5" s="447" t="s">
        <v>211</v>
      </c>
      <c r="K5" s="447" t="s">
        <v>211</v>
      </c>
      <c r="L5" s="447" t="s">
        <v>211</v>
      </c>
      <c r="M5" s="432">
        <f>SUM(M6:M11)</f>
        <v>1.1963498077119133E-2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5.5863137904150652E-6</v>
      </c>
      <c r="C6" s="433"/>
      <c r="D6" s="433">
        <f>vkm_2011_GW_PW*SUMIFS(TableVerdeelsleutelVkm[CNG],TableVerdeelsleutelVkm[Voertuigtype],"Lichte voertuigen")*SUMIFS(TableECFTransport[EnergieConsumptieFactor (PJ per km)],TableECFTransport[Index],CONCATENATE($A6,"_CNG_CNG"))</f>
        <v>1.3641871830785288E-5</v>
      </c>
      <c r="E6" s="435">
        <f>vkm_2011_GW_PW*SUMIFS(TableVerdeelsleutelVkm[LPG],TableVerdeelsleutelVkm[Voertuigtype],"Lichte voertuigen")*SUMIFS(TableECFTransport[EnergieConsumptieFactor (PJ per km)],TableECFTransport[Index],CONCATENATE($A6,"_LPG_LPG"))</f>
        <v>8.0861966283124877E-4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0.11689548444056723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3.0634948126814537E-2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6.6066844643230113E-3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7.0686823591143533E-2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2.8519377471415005E-5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3.1490761206353613E-3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7.933361625646206E-7</v>
      </c>
      <c r="C8" s="433"/>
      <c r="D8" s="435">
        <f>vkm_2011_NGW_PW*SUMIFS(TableVerdeelsleutelVkm[CNG],TableVerdeelsleutelVkm[Voertuigtype],"Lichte voertuigen")*SUMIFS(TableECFTransport[EnergieConsumptieFactor (PJ per km)],TableECFTransport[Index],CONCATENATE($A8,"_CNG_CNG"))</f>
        <v>3.4759174661718224E-6</v>
      </c>
      <c r="E8" s="435">
        <f>vkm_2011_NGW_PW*SUMIFS(TableVerdeelsleutelVkm[LPG],TableVerdeelsleutelVkm[Voertuigtype],"Lichte voertuigen")*SUMIFS(TableECFTransport[EnergieConsumptieFactor (PJ per km)],TableECFTransport[Index],CONCATENATE($A8,"_LPG_LPG"))</f>
        <v>1.8901592311943726E-4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2.581302068230662E-2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7.4747296572188647E-3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1.491365581703778E-3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1.6081150562034026E-2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5.6491751697549233E-6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7.163719104569822E-4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1.7721249869388016</v>
      </c>
      <c r="C14" s="22"/>
      <c r="D14" s="22">
        <f t="shared" ref="D14:M14" si="0">((D5)*10^9/3600)+D12</f>
        <v>4.7549414713769753</v>
      </c>
      <c r="E14" s="22">
        <f t="shared" si="0"/>
        <v>277.12099609741273</v>
      </c>
      <c r="F14" s="22"/>
      <c r="G14" s="22">
        <f t="shared" si="0"/>
        <v>63743.466465569836</v>
      </c>
      <c r="H14" s="22">
        <f t="shared" si="0"/>
        <v>10595.512871298492</v>
      </c>
      <c r="I14" s="22"/>
      <c r="J14" s="22"/>
      <c r="K14" s="22"/>
      <c r="L14" s="22"/>
      <c r="M14" s="22">
        <f t="shared" si="0"/>
        <v>3323.1939103108707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0.21567026160821534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0.38219465953554654</v>
      </c>
      <c r="C18" s="24"/>
      <c r="D18" s="24">
        <f t="shared" ref="D18:M18" si="1">D14*D16</f>
        <v>0.96049817721814912</v>
      </c>
      <c r="E18" s="24">
        <f t="shared" si="1"/>
        <v>62.906466114112689</v>
      </c>
      <c r="F18" s="24"/>
      <c r="G18" s="24">
        <f t="shared" si="1"/>
        <v>17019.505546307148</v>
      </c>
      <c r="H18" s="24">
        <f t="shared" si="1"/>
        <v>2638.2827049533244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4.6747053872906669E-3</v>
      </c>
      <c r="C50" s="323">
        <f t="shared" ref="C50:P50" si="2">SUM(C51:C52)</f>
        <v>0</v>
      </c>
      <c r="D50" s="323">
        <f t="shared" si="2"/>
        <v>0</v>
      </c>
      <c r="E50" s="323">
        <f t="shared" si="2"/>
        <v>0</v>
      </c>
      <c r="F50" s="323">
        <f t="shared" si="2"/>
        <v>0</v>
      </c>
      <c r="G50" s="323">
        <f t="shared" si="2"/>
        <v>1.1534292230303746E-3</v>
      </c>
      <c r="H50" s="323">
        <f t="shared" si="2"/>
        <v>0</v>
      </c>
      <c r="I50" s="323">
        <f t="shared" si="2"/>
        <v>0</v>
      </c>
      <c r="J50" s="323">
        <f t="shared" si="2"/>
        <v>0</v>
      </c>
      <c r="K50" s="323">
        <f t="shared" si="2"/>
        <v>0</v>
      </c>
      <c r="L50" s="323">
        <f t="shared" si="2"/>
        <v>0</v>
      </c>
      <c r="M50" s="323">
        <f t="shared" si="2"/>
        <v>5.0648979883783123E-5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1.1534292230303746E-3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5.0648979883783123E-5</v>
      </c>
      <c r="N51" s="325"/>
      <c r="O51" s="325"/>
      <c r="P51" s="328"/>
    </row>
    <row r="52" spans="1:18">
      <c r="A52" s="4" t="s">
        <v>330</v>
      </c>
      <c r="B52" s="329">
        <f>vkm_2011_tram*SUMIFS(TableECFTransport[EnergieConsumptieFactor (PJ per km)],TableECFTransport[Index],"Tram_gemiddeld_Electric_Electric")</f>
        <v>4.6747053872906669E-3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1298.5292742474076</v>
      </c>
      <c r="C54" s="22">
        <f t="shared" ref="C54:P54" si="3">(C50)*10^9/3600</f>
        <v>0</v>
      </c>
      <c r="D54" s="22">
        <f t="shared" si="3"/>
        <v>0</v>
      </c>
      <c r="E54" s="22">
        <f t="shared" si="3"/>
        <v>0</v>
      </c>
      <c r="F54" s="22">
        <f t="shared" si="3"/>
        <v>0</v>
      </c>
      <c r="G54" s="22">
        <f t="shared" si="3"/>
        <v>320.39700639732627</v>
      </c>
      <c r="H54" s="22">
        <f t="shared" si="3"/>
        <v>0</v>
      </c>
      <c r="I54" s="22">
        <f t="shared" si="3"/>
        <v>0</v>
      </c>
      <c r="J54" s="22">
        <f t="shared" si="3"/>
        <v>0</v>
      </c>
      <c r="K54" s="22">
        <f t="shared" si="3"/>
        <v>0</v>
      </c>
      <c r="L54" s="22">
        <f t="shared" si="3"/>
        <v>0</v>
      </c>
      <c r="M54" s="22">
        <f t="shared" si="3"/>
        <v>14.069161078828646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0.21567026160821534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280.05414828286439</v>
      </c>
      <c r="C58" s="24">
        <f t="shared" ref="C58:P58" ca="1" si="4">C54*C56</f>
        <v>0</v>
      </c>
      <c r="D58" s="24">
        <f t="shared" si="4"/>
        <v>0</v>
      </c>
      <c r="E58" s="24">
        <f t="shared" si="4"/>
        <v>0</v>
      </c>
      <c r="F58" s="24">
        <f t="shared" si="4"/>
        <v>0</v>
      </c>
      <c r="G58" s="24">
        <f t="shared" si="4"/>
        <v>85.546000708086112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1764.6851036663272</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1764.6851036663272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32754.042981463339</v>
      </c>
      <c r="D10" s="703">
        <f ca="1">tertiair!C16</f>
        <v>0</v>
      </c>
      <c r="E10" s="703">
        <f ca="1">tertiair!D16</f>
        <v>50699.917104461761</v>
      </c>
      <c r="F10" s="703">
        <f>tertiair!E16</f>
        <v>830.49831079327271</v>
      </c>
      <c r="G10" s="703">
        <f ca="1">tertiair!F16</f>
        <v>6435.9902680799405</v>
      </c>
      <c r="H10" s="703">
        <f>tertiair!G16</f>
        <v>0</v>
      </c>
      <c r="I10" s="703">
        <f>tertiair!H16</f>
        <v>0</v>
      </c>
      <c r="J10" s="703">
        <f>tertiair!I16</f>
        <v>0</v>
      </c>
      <c r="K10" s="703">
        <f>tertiair!J16</f>
        <v>0</v>
      </c>
      <c r="L10" s="703">
        <f>tertiair!K16</f>
        <v>0</v>
      </c>
      <c r="M10" s="703">
        <f ca="1">tertiair!L16</f>
        <v>0</v>
      </c>
      <c r="N10" s="703">
        <f>tertiair!M16</f>
        <v>0</v>
      </c>
      <c r="O10" s="703">
        <f ca="1">tertiair!N16</f>
        <v>1194.2062438315722</v>
      </c>
      <c r="P10" s="703">
        <f>tertiair!O16</f>
        <v>0</v>
      </c>
      <c r="Q10" s="704">
        <f>tertiair!P16</f>
        <v>0</v>
      </c>
      <c r="R10" s="706">
        <f ca="1">SUM(C10:Q10)</f>
        <v>91914.654908629891</v>
      </c>
      <c r="S10" s="68"/>
    </row>
    <row r="11" spans="1:19" s="458" customFormat="1">
      <c r="A11" s="859" t="s">
        <v>225</v>
      </c>
      <c r="B11" s="864"/>
      <c r="C11" s="703">
        <f>huishoudens!B8</f>
        <v>36529.564369411957</v>
      </c>
      <c r="D11" s="703">
        <f>huishoudens!C8</f>
        <v>0</v>
      </c>
      <c r="E11" s="703">
        <f>huishoudens!D8</f>
        <v>76466.705791824483</v>
      </c>
      <c r="F11" s="703">
        <f>huishoudens!E8</f>
        <v>0</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0</v>
      </c>
      <c r="P11" s="703">
        <f>huishoudens!O8</f>
        <v>64.096666666666678</v>
      </c>
      <c r="Q11" s="704">
        <f>huishoudens!P8</f>
        <v>95.333333333333343</v>
      </c>
      <c r="R11" s="706">
        <f>SUM(C11:Q11)</f>
        <v>113155.70016123643</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1395.3935557966533</v>
      </c>
      <c r="D13" s="703">
        <f>industrie!C18</f>
        <v>0</v>
      </c>
      <c r="E13" s="703">
        <f>industrie!D18</f>
        <v>2631.6575230884168</v>
      </c>
      <c r="F13" s="703">
        <f>industrie!E18</f>
        <v>12.758961511020196</v>
      </c>
      <c r="G13" s="703">
        <f>industrie!F18</f>
        <v>628.30741319727395</v>
      </c>
      <c r="H13" s="703">
        <f>industrie!G18</f>
        <v>0</v>
      </c>
      <c r="I13" s="703">
        <f>industrie!H18</f>
        <v>0</v>
      </c>
      <c r="J13" s="703">
        <f>industrie!I18</f>
        <v>0</v>
      </c>
      <c r="K13" s="703">
        <f>industrie!J18</f>
        <v>1.0358809380135263</v>
      </c>
      <c r="L13" s="703">
        <f>industrie!K18</f>
        <v>0</v>
      </c>
      <c r="M13" s="703">
        <f>industrie!L18</f>
        <v>0</v>
      </c>
      <c r="N13" s="703">
        <f>industrie!M18</f>
        <v>0</v>
      </c>
      <c r="O13" s="703">
        <f>industrie!N18</f>
        <v>91.458523836670153</v>
      </c>
      <c r="P13" s="703">
        <f>industrie!O18</f>
        <v>0</v>
      </c>
      <c r="Q13" s="704">
        <f>industrie!P18</f>
        <v>0</v>
      </c>
      <c r="R13" s="706">
        <f>SUM(C13:Q13)</f>
        <v>4760.6118583680473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70679.00090667195</v>
      </c>
      <c r="D15" s="708">
        <f t="shared" ref="D15:Q15" ca="1" si="0">SUM(D9:D14)</f>
        <v>0</v>
      </c>
      <c r="E15" s="708">
        <f t="shared" ca="1" si="0"/>
        <v>129798.28041937467</v>
      </c>
      <c r="F15" s="708">
        <f t="shared" si="0"/>
        <v>843.25727230429288</v>
      </c>
      <c r="G15" s="708">
        <f t="shared" ca="1" si="0"/>
        <v>7064.297681277214</v>
      </c>
      <c r="H15" s="708">
        <f t="shared" si="0"/>
        <v>0</v>
      </c>
      <c r="I15" s="708">
        <f t="shared" si="0"/>
        <v>0</v>
      </c>
      <c r="J15" s="708">
        <f t="shared" si="0"/>
        <v>0</v>
      </c>
      <c r="K15" s="708">
        <f t="shared" si="0"/>
        <v>1.0358809380135263</v>
      </c>
      <c r="L15" s="708">
        <f t="shared" si="0"/>
        <v>0</v>
      </c>
      <c r="M15" s="708">
        <f t="shared" ca="1" si="0"/>
        <v>0</v>
      </c>
      <c r="N15" s="708">
        <f t="shared" si="0"/>
        <v>0</v>
      </c>
      <c r="O15" s="708">
        <f t="shared" ca="1" si="0"/>
        <v>1285.6647676682423</v>
      </c>
      <c r="P15" s="708">
        <f t="shared" si="0"/>
        <v>64.096666666666678</v>
      </c>
      <c r="Q15" s="709">
        <f t="shared" si="0"/>
        <v>95.333333333333343</v>
      </c>
      <c r="R15" s="710">
        <f ca="1">SUM(R9:R14)</f>
        <v>209830.96692823435</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1298.5292742474076</v>
      </c>
      <c r="D18" s="703">
        <f>transport!C54</f>
        <v>0</v>
      </c>
      <c r="E18" s="703">
        <f>transport!D54</f>
        <v>0</v>
      </c>
      <c r="F18" s="703">
        <f>transport!E54</f>
        <v>0</v>
      </c>
      <c r="G18" s="703">
        <f>transport!F54</f>
        <v>0</v>
      </c>
      <c r="H18" s="703">
        <f>transport!G54</f>
        <v>320.39700639732627</v>
      </c>
      <c r="I18" s="703">
        <f>transport!H54</f>
        <v>0</v>
      </c>
      <c r="J18" s="703">
        <f>transport!I54</f>
        <v>0</v>
      </c>
      <c r="K18" s="703">
        <f>transport!J54</f>
        <v>0</v>
      </c>
      <c r="L18" s="703">
        <f>transport!K54</f>
        <v>0</v>
      </c>
      <c r="M18" s="703">
        <f>transport!L54</f>
        <v>0</v>
      </c>
      <c r="N18" s="703">
        <f>transport!M54</f>
        <v>14.069161078828646</v>
      </c>
      <c r="O18" s="703">
        <f>transport!N54</f>
        <v>0</v>
      </c>
      <c r="P18" s="703">
        <f>transport!O54</f>
        <v>0</v>
      </c>
      <c r="Q18" s="704">
        <f>transport!P54</f>
        <v>0</v>
      </c>
      <c r="R18" s="706">
        <f>SUM(C18:Q18)</f>
        <v>1632.9954417235626</v>
      </c>
      <c r="S18" s="68"/>
    </row>
    <row r="19" spans="1:19" s="458" customFormat="1" ht="15" thickBot="1">
      <c r="A19" s="859" t="s">
        <v>307</v>
      </c>
      <c r="B19" s="864"/>
      <c r="C19" s="712">
        <f>transport!B14</f>
        <v>1.7721249869388016</v>
      </c>
      <c r="D19" s="712">
        <f>transport!C14</f>
        <v>0</v>
      </c>
      <c r="E19" s="712">
        <f>transport!D14</f>
        <v>4.7549414713769753</v>
      </c>
      <c r="F19" s="712">
        <f>transport!E14</f>
        <v>277.12099609741273</v>
      </c>
      <c r="G19" s="712">
        <f>transport!F14</f>
        <v>0</v>
      </c>
      <c r="H19" s="712">
        <f>transport!G14</f>
        <v>63743.466465569836</v>
      </c>
      <c r="I19" s="712">
        <f>transport!H14</f>
        <v>10595.512871298492</v>
      </c>
      <c r="J19" s="712">
        <f>transport!I14</f>
        <v>0</v>
      </c>
      <c r="K19" s="712">
        <f>transport!J14</f>
        <v>0</v>
      </c>
      <c r="L19" s="712">
        <f>transport!K14</f>
        <v>0</v>
      </c>
      <c r="M19" s="712">
        <f>transport!L14</f>
        <v>0</v>
      </c>
      <c r="N19" s="712">
        <f>transport!M14</f>
        <v>3323.1939103108707</v>
      </c>
      <c r="O19" s="712">
        <f>transport!N14</f>
        <v>0</v>
      </c>
      <c r="P19" s="712">
        <f>transport!O14</f>
        <v>0</v>
      </c>
      <c r="Q19" s="713">
        <f>transport!P14</f>
        <v>0</v>
      </c>
      <c r="R19" s="714">
        <f>SUM(C19:Q19)</f>
        <v>77945.821309734936</v>
      </c>
      <c r="S19" s="68"/>
    </row>
    <row r="20" spans="1:19" s="458" customFormat="1" ht="15.75" thickBot="1">
      <c r="A20" s="715" t="s">
        <v>230</v>
      </c>
      <c r="B20" s="867"/>
      <c r="C20" s="862">
        <f>SUM(C17:C19)</f>
        <v>1300.3013992343463</v>
      </c>
      <c r="D20" s="716">
        <f t="shared" ref="D20:R20" si="1">SUM(D17:D19)</f>
        <v>0</v>
      </c>
      <c r="E20" s="716">
        <f t="shared" si="1"/>
        <v>4.7549414713769753</v>
      </c>
      <c r="F20" s="716">
        <f t="shared" si="1"/>
        <v>277.12099609741273</v>
      </c>
      <c r="G20" s="716">
        <f t="shared" si="1"/>
        <v>0</v>
      </c>
      <c r="H20" s="716">
        <f t="shared" si="1"/>
        <v>64063.863471967161</v>
      </c>
      <c r="I20" s="716">
        <f t="shared" si="1"/>
        <v>10595.512871298492</v>
      </c>
      <c r="J20" s="716">
        <f t="shared" si="1"/>
        <v>0</v>
      </c>
      <c r="K20" s="716">
        <f t="shared" si="1"/>
        <v>0</v>
      </c>
      <c r="L20" s="716">
        <f t="shared" si="1"/>
        <v>0</v>
      </c>
      <c r="M20" s="716">
        <f t="shared" si="1"/>
        <v>0</v>
      </c>
      <c r="N20" s="716">
        <f t="shared" si="1"/>
        <v>3337.2630713896992</v>
      </c>
      <c r="O20" s="716">
        <f t="shared" si="1"/>
        <v>0</v>
      </c>
      <c r="P20" s="716">
        <f t="shared" si="1"/>
        <v>0</v>
      </c>
      <c r="Q20" s="717">
        <f t="shared" si="1"/>
        <v>0</v>
      </c>
      <c r="R20" s="718">
        <f t="shared" si="1"/>
        <v>79578.816751458493</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1194.1593618189829</v>
      </c>
      <c r="D22" s="712">
        <f>+landbouw!C8</f>
        <v>0</v>
      </c>
      <c r="E22" s="712">
        <f>+landbouw!D8</f>
        <v>6031.1604868901122</v>
      </c>
      <c r="F22" s="712">
        <f>+landbouw!E8</f>
        <v>11.249781301353421</v>
      </c>
      <c r="G22" s="712">
        <f>+landbouw!F8</f>
        <v>3896.9383043025828</v>
      </c>
      <c r="H22" s="712">
        <f>+landbouw!G8</f>
        <v>0</v>
      </c>
      <c r="I22" s="712">
        <f>+landbouw!H8</f>
        <v>0</v>
      </c>
      <c r="J22" s="712">
        <f>+landbouw!I8</f>
        <v>0</v>
      </c>
      <c r="K22" s="712">
        <f>+landbouw!J8</f>
        <v>147.72332144702833</v>
      </c>
      <c r="L22" s="712">
        <f>+landbouw!K8</f>
        <v>0</v>
      </c>
      <c r="M22" s="712">
        <f>+landbouw!L8</f>
        <v>0</v>
      </c>
      <c r="N22" s="712">
        <f>+landbouw!M8</f>
        <v>0</v>
      </c>
      <c r="O22" s="712">
        <f>+landbouw!N8</f>
        <v>0</v>
      </c>
      <c r="P22" s="712">
        <f>+landbouw!O8</f>
        <v>0</v>
      </c>
      <c r="Q22" s="713">
        <f>+landbouw!P8</f>
        <v>0</v>
      </c>
      <c r="R22" s="714">
        <f>SUM(C22:Q22)</f>
        <v>11281.23125576006</v>
      </c>
      <c r="S22" s="68"/>
    </row>
    <row r="23" spans="1:19" s="458" customFormat="1" ht="17.25" thickTop="1" thickBot="1">
      <c r="A23" s="719" t="s">
        <v>116</v>
      </c>
      <c r="B23" s="853"/>
      <c r="C23" s="720">
        <f ca="1">C20+C15+C22</f>
        <v>73173.461667725278</v>
      </c>
      <c r="D23" s="720">
        <f t="shared" ref="D23:Q23" ca="1" si="2">D20+D15+D22</f>
        <v>0</v>
      </c>
      <c r="E23" s="720">
        <f t="shared" ca="1" si="2"/>
        <v>135834.19584773615</v>
      </c>
      <c r="F23" s="720">
        <f t="shared" si="2"/>
        <v>1131.6280497030589</v>
      </c>
      <c r="G23" s="720">
        <f t="shared" ca="1" si="2"/>
        <v>10961.235985579797</v>
      </c>
      <c r="H23" s="720">
        <f t="shared" si="2"/>
        <v>64063.863471967161</v>
      </c>
      <c r="I23" s="720">
        <f t="shared" si="2"/>
        <v>10595.512871298492</v>
      </c>
      <c r="J23" s="720">
        <f t="shared" si="2"/>
        <v>0</v>
      </c>
      <c r="K23" s="720">
        <f t="shared" si="2"/>
        <v>148.75920238504185</v>
      </c>
      <c r="L23" s="720">
        <f t="shared" si="2"/>
        <v>0</v>
      </c>
      <c r="M23" s="720">
        <f t="shared" ca="1" si="2"/>
        <v>0</v>
      </c>
      <c r="N23" s="720">
        <f t="shared" si="2"/>
        <v>3337.2630713896992</v>
      </c>
      <c r="O23" s="720">
        <f t="shared" ca="1" si="2"/>
        <v>1285.6647676682423</v>
      </c>
      <c r="P23" s="720">
        <f t="shared" si="2"/>
        <v>64.096666666666678</v>
      </c>
      <c r="Q23" s="721">
        <f t="shared" si="2"/>
        <v>95.333333333333343</v>
      </c>
      <c r="R23" s="722">
        <f ca="1">R20+R15+R22</f>
        <v>300691.0149354529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7064.0730185389275</v>
      </c>
      <c r="D36" s="703">
        <f ca="1">tertiair!C20</f>
        <v>0</v>
      </c>
      <c r="E36" s="703">
        <f ca="1">tertiair!D20</f>
        <v>10241.383255101277</v>
      </c>
      <c r="F36" s="703">
        <f>tertiair!E20</f>
        <v>188.5231165500729</v>
      </c>
      <c r="G36" s="703">
        <f ca="1">tertiair!F20</f>
        <v>1718.4094015773442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19212.388791767622</v>
      </c>
    </row>
    <row r="37" spans="1:18">
      <c r="A37" s="874" t="s">
        <v>225</v>
      </c>
      <c r="B37" s="881"/>
      <c r="C37" s="703">
        <f ca="1">huishoudens!B12</f>
        <v>7878.3407039852191</v>
      </c>
      <c r="D37" s="703">
        <f ca="1">huishoudens!C12</f>
        <v>0</v>
      </c>
      <c r="E37" s="703">
        <f>huishoudens!D12</f>
        <v>15446.274569948546</v>
      </c>
      <c r="F37" s="703">
        <f>huishoudens!E12</f>
        <v>0</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23324.615273933763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300.94489322508207</v>
      </c>
      <c r="D39" s="703">
        <f ca="1">industrie!C22</f>
        <v>0</v>
      </c>
      <c r="E39" s="703">
        <f>industrie!D22</f>
        <v>531.59481966386022</v>
      </c>
      <c r="F39" s="703">
        <f>industrie!E22</f>
        <v>2.8962842630015846</v>
      </c>
      <c r="G39" s="703">
        <f>industrie!F22</f>
        <v>167.75807932367215</v>
      </c>
      <c r="H39" s="703">
        <f>industrie!G22</f>
        <v>0</v>
      </c>
      <c r="I39" s="703">
        <f>industrie!H22</f>
        <v>0</v>
      </c>
      <c r="J39" s="703">
        <f>industrie!I22</f>
        <v>0</v>
      </c>
      <c r="K39" s="703">
        <f>industrie!J22</f>
        <v>0.36670185205678829</v>
      </c>
      <c r="L39" s="703">
        <f>industrie!K22</f>
        <v>0</v>
      </c>
      <c r="M39" s="703">
        <f>industrie!L22</f>
        <v>0</v>
      </c>
      <c r="N39" s="703">
        <f>industrie!M22</f>
        <v>0</v>
      </c>
      <c r="O39" s="703">
        <f>industrie!N22</f>
        <v>0</v>
      </c>
      <c r="P39" s="703">
        <f>industrie!O22</f>
        <v>0</v>
      </c>
      <c r="Q39" s="813">
        <f>industrie!P22</f>
        <v>0</v>
      </c>
      <c r="R39" s="907">
        <f ca="1">SUM(C39:Q39)</f>
        <v>1003.5607783276728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15243.358615749228</v>
      </c>
      <c r="D41" s="748">
        <f t="shared" ref="D41:R41" ca="1" si="4">SUM(D35:D40)</f>
        <v>0</v>
      </c>
      <c r="E41" s="748">
        <f t="shared" ca="1" si="4"/>
        <v>26219.252644713681</v>
      </c>
      <c r="F41" s="748">
        <f t="shared" si="4"/>
        <v>191.41940081307447</v>
      </c>
      <c r="G41" s="748">
        <f t="shared" ca="1" si="4"/>
        <v>1886.1674809010162</v>
      </c>
      <c r="H41" s="748">
        <f t="shared" si="4"/>
        <v>0</v>
      </c>
      <c r="I41" s="748">
        <f t="shared" si="4"/>
        <v>0</v>
      </c>
      <c r="J41" s="748">
        <f t="shared" si="4"/>
        <v>0</v>
      </c>
      <c r="K41" s="748">
        <f t="shared" si="4"/>
        <v>0.36670185205678829</v>
      </c>
      <c r="L41" s="748">
        <f t="shared" si="4"/>
        <v>0</v>
      </c>
      <c r="M41" s="748">
        <f t="shared" ca="1" si="4"/>
        <v>0</v>
      </c>
      <c r="N41" s="748">
        <f t="shared" si="4"/>
        <v>0</v>
      </c>
      <c r="O41" s="748">
        <f t="shared" ca="1" si="4"/>
        <v>0</v>
      </c>
      <c r="P41" s="748">
        <f t="shared" si="4"/>
        <v>0</v>
      </c>
      <c r="Q41" s="749">
        <f t="shared" si="4"/>
        <v>0</v>
      </c>
      <c r="R41" s="750">
        <f t="shared" ca="1" si="4"/>
        <v>43540.564844029061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280.05414828286439</v>
      </c>
      <c r="D44" s="703">
        <f ca="1">transport!C58</f>
        <v>0</v>
      </c>
      <c r="E44" s="703">
        <f>transport!D58</f>
        <v>0</v>
      </c>
      <c r="F44" s="703">
        <f>transport!E58</f>
        <v>0</v>
      </c>
      <c r="G44" s="703">
        <f>transport!F58</f>
        <v>0</v>
      </c>
      <c r="H44" s="703">
        <f>transport!G58</f>
        <v>85.546000708086112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365.60014899095052</v>
      </c>
    </row>
    <row r="45" spans="1:18" ht="15" thickBot="1">
      <c r="A45" s="877" t="s">
        <v>307</v>
      </c>
      <c r="B45" s="887"/>
      <c r="C45" s="712">
        <f ca="1">transport!B18</f>
        <v>0.38219465953554654</v>
      </c>
      <c r="D45" s="712">
        <f>transport!C18</f>
        <v>0</v>
      </c>
      <c r="E45" s="712">
        <f>transport!D18</f>
        <v>0.96049817721814912</v>
      </c>
      <c r="F45" s="712">
        <f>transport!E18</f>
        <v>62.906466114112689</v>
      </c>
      <c r="G45" s="712">
        <f>transport!F18</f>
        <v>0</v>
      </c>
      <c r="H45" s="712">
        <f>transport!G18</f>
        <v>17019.505546307148</v>
      </c>
      <c r="I45" s="712">
        <f>transport!H18</f>
        <v>2638.2827049533244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19722.037410211342</v>
      </c>
    </row>
    <row r="46" spans="1:18" ht="15.75" thickBot="1">
      <c r="A46" s="875" t="s">
        <v>230</v>
      </c>
      <c r="B46" s="888"/>
      <c r="C46" s="748">
        <f t="shared" ref="C46:R46" ca="1" si="5">SUM(C43:C45)</f>
        <v>280.43634294239996</v>
      </c>
      <c r="D46" s="748">
        <f t="shared" ca="1" si="5"/>
        <v>0</v>
      </c>
      <c r="E46" s="748">
        <f t="shared" si="5"/>
        <v>0.96049817721814912</v>
      </c>
      <c r="F46" s="748">
        <f t="shared" si="5"/>
        <v>62.906466114112689</v>
      </c>
      <c r="G46" s="748">
        <f t="shared" si="5"/>
        <v>0</v>
      </c>
      <c r="H46" s="748">
        <f t="shared" si="5"/>
        <v>17105.051547015235</v>
      </c>
      <c r="I46" s="748">
        <f t="shared" si="5"/>
        <v>2638.2827049533244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20087.637559202292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257.54466196539954</v>
      </c>
      <c r="D48" s="703">
        <f ca="1">+landbouw!C12</f>
        <v>0</v>
      </c>
      <c r="E48" s="703">
        <f>+landbouw!D12</f>
        <v>1218.2944183518027</v>
      </c>
      <c r="F48" s="703">
        <f>+landbouw!E12</f>
        <v>2.5537003554072268</v>
      </c>
      <c r="G48" s="703">
        <f>+landbouw!F12</f>
        <v>1040.4825272487897</v>
      </c>
      <c r="H48" s="703">
        <f>+landbouw!G12</f>
        <v>0</v>
      </c>
      <c r="I48" s="703">
        <f>+landbouw!H12</f>
        <v>0</v>
      </c>
      <c r="J48" s="703">
        <f>+landbouw!I12</f>
        <v>0</v>
      </c>
      <c r="K48" s="703">
        <f>+landbouw!J12</f>
        <v>52.294055792248024</v>
      </c>
      <c r="L48" s="703">
        <f>+landbouw!K12</f>
        <v>0</v>
      </c>
      <c r="M48" s="703">
        <f>+landbouw!L12</f>
        <v>0</v>
      </c>
      <c r="N48" s="703">
        <f>+landbouw!M12</f>
        <v>0</v>
      </c>
      <c r="O48" s="703">
        <f>+landbouw!N12</f>
        <v>0</v>
      </c>
      <c r="P48" s="703">
        <f>+landbouw!O12</f>
        <v>0</v>
      </c>
      <c r="Q48" s="704">
        <f>+landbouw!P12</f>
        <v>0</v>
      </c>
      <c r="R48" s="746">
        <f ca="1">SUM(C48:Q48)</f>
        <v>2571.1693637136473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15781.339620657027</v>
      </c>
      <c r="D53" s="758">
        <f t="shared" ref="D53:Q53" ca="1" si="6">D41+D46+D48</f>
        <v>0</v>
      </c>
      <c r="E53" s="758">
        <f t="shared" ca="1" si="6"/>
        <v>27438.507561242699</v>
      </c>
      <c r="F53" s="758">
        <f t="shared" si="6"/>
        <v>256.87956728259439</v>
      </c>
      <c r="G53" s="758">
        <f t="shared" ca="1" si="6"/>
        <v>2926.6500081498061</v>
      </c>
      <c r="H53" s="758">
        <f t="shared" si="6"/>
        <v>17105.051547015235</v>
      </c>
      <c r="I53" s="758">
        <f t="shared" si="6"/>
        <v>2638.2827049533244</v>
      </c>
      <c r="J53" s="758">
        <f t="shared" si="6"/>
        <v>0</v>
      </c>
      <c r="K53" s="758">
        <f t="shared" si="6"/>
        <v>52.660757644304809</v>
      </c>
      <c r="L53" s="758">
        <f t="shared" si="6"/>
        <v>0</v>
      </c>
      <c r="M53" s="758">
        <f t="shared" ca="1" si="6"/>
        <v>0</v>
      </c>
      <c r="N53" s="758">
        <f t="shared" si="6"/>
        <v>0</v>
      </c>
      <c r="O53" s="758">
        <f t="shared" ca="1" si="6"/>
        <v>0</v>
      </c>
      <c r="P53" s="758">
        <f>P41+P46+P48</f>
        <v>0</v>
      </c>
      <c r="Q53" s="759">
        <f t="shared" si="6"/>
        <v>0</v>
      </c>
      <c r="R53" s="760">
        <f ca="1">R41+R46+R48</f>
        <v>66199.371766944998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0.21567026160821531</v>
      </c>
      <c r="D55" s="824">
        <f t="shared" ca="1" si="7"/>
        <v>0</v>
      </c>
      <c r="E55" s="824">
        <f t="shared" ca="1" si="7"/>
        <v>0.20199999999999999</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1764.6851036663272</v>
      </c>
      <c r="C66" s="780">
        <f>'lokale energieproductie'!B6</f>
        <v>1764.6851036663272</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1764.6851036663272</v>
      </c>
      <c r="C69" s="788">
        <f>SUM(C64:C68)</f>
        <v>1764.6851036663272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36529.564369411957</v>
      </c>
      <c r="C4" s="462">
        <f>huishoudens!C8</f>
        <v>0</v>
      </c>
      <c r="D4" s="462">
        <f>huishoudens!D8</f>
        <v>76466.705791824483</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64.096666666666678</v>
      </c>
      <c r="P4" s="463">
        <f>huishoudens!P8</f>
        <v>95.333333333333343</v>
      </c>
      <c r="Q4" s="464">
        <f>SUM(B4:P4)</f>
        <v>113155.70016123643</v>
      </c>
    </row>
    <row r="5" spans="1:17">
      <c r="A5" s="461" t="s">
        <v>156</v>
      </c>
      <c r="B5" s="462">
        <f ca="1">tertiair!B16</f>
        <v>31000.482981463338</v>
      </c>
      <c r="C5" s="462">
        <f ca="1">tertiair!C16</f>
        <v>0</v>
      </c>
      <c r="D5" s="462">
        <f ca="1">tertiair!D16</f>
        <v>50699.917104461761</v>
      </c>
      <c r="E5" s="462">
        <f>tertiair!E16</f>
        <v>830.49831079327271</v>
      </c>
      <c r="F5" s="462">
        <f ca="1">tertiair!F16</f>
        <v>6435.9902680799405</v>
      </c>
      <c r="G5" s="462">
        <f>tertiair!G16</f>
        <v>0</v>
      </c>
      <c r="H5" s="462">
        <f>tertiair!H16</f>
        <v>0</v>
      </c>
      <c r="I5" s="462">
        <f>tertiair!I16</f>
        <v>0</v>
      </c>
      <c r="J5" s="462">
        <f>tertiair!J16</f>
        <v>0</v>
      </c>
      <c r="K5" s="462">
        <f>tertiair!K16</f>
        <v>0</v>
      </c>
      <c r="L5" s="462">
        <f ca="1">tertiair!L16</f>
        <v>0</v>
      </c>
      <c r="M5" s="462">
        <f>tertiair!M16</f>
        <v>0</v>
      </c>
      <c r="N5" s="462">
        <f ca="1">tertiair!N16</f>
        <v>1194.2062438315722</v>
      </c>
      <c r="O5" s="462">
        <f>tertiair!O16</f>
        <v>0</v>
      </c>
      <c r="P5" s="463">
        <f>tertiair!P16</f>
        <v>0</v>
      </c>
      <c r="Q5" s="461">
        <f t="shared" ref="Q5:Q13" ca="1" si="0">SUM(B5:P5)</f>
        <v>90161.094908629893</v>
      </c>
    </row>
    <row r="6" spans="1:17">
      <c r="A6" s="461" t="s">
        <v>194</v>
      </c>
      <c r="B6" s="462">
        <f>'openbare verlichting'!B8</f>
        <v>1753.56</v>
      </c>
      <c r="C6" s="462"/>
      <c r="D6" s="462"/>
      <c r="E6" s="462"/>
      <c r="F6" s="462"/>
      <c r="G6" s="462"/>
      <c r="H6" s="462"/>
      <c r="I6" s="462"/>
      <c r="J6" s="462"/>
      <c r="K6" s="462"/>
      <c r="L6" s="462"/>
      <c r="M6" s="462"/>
      <c r="N6" s="462"/>
      <c r="O6" s="462"/>
      <c r="P6" s="463"/>
      <c r="Q6" s="461">
        <f t="shared" si="0"/>
        <v>1753.56</v>
      </c>
    </row>
    <row r="7" spans="1:17">
      <c r="A7" s="461" t="s">
        <v>112</v>
      </c>
      <c r="B7" s="462">
        <f>landbouw!B8</f>
        <v>1194.1593618189829</v>
      </c>
      <c r="C7" s="462">
        <f>landbouw!C8</f>
        <v>0</v>
      </c>
      <c r="D7" s="462">
        <f>landbouw!D8</f>
        <v>6031.1604868901122</v>
      </c>
      <c r="E7" s="462">
        <f>landbouw!E8</f>
        <v>11.249781301353421</v>
      </c>
      <c r="F7" s="462">
        <f>landbouw!F8</f>
        <v>3896.9383043025828</v>
      </c>
      <c r="G7" s="462">
        <f>landbouw!G8</f>
        <v>0</v>
      </c>
      <c r="H7" s="462">
        <f>landbouw!H8</f>
        <v>0</v>
      </c>
      <c r="I7" s="462">
        <f>landbouw!I8</f>
        <v>0</v>
      </c>
      <c r="J7" s="462">
        <f>landbouw!J8</f>
        <v>147.72332144702833</v>
      </c>
      <c r="K7" s="462">
        <f>landbouw!K8</f>
        <v>0</v>
      </c>
      <c r="L7" s="462">
        <f>landbouw!L8</f>
        <v>0</v>
      </c>
      <c r="M7" s="462">
        <f>landbouw!M8</f>
        <v>0</v>
      </c>
      <c r="N7" s="462">
        <f>landbouw!N8</f>
        <v>0</v>
      </c>
      <c r="O7" s="462">
        <f>landbouw!O8</f>
        <v>0</v>
      </c>
      <c r="P7" s="463">
        <f>landbouw!P8</f>
        <v>0</v>
      </c>
      <c r="Q7" s="461">
        <f t="shared" si="0"/>
        <v>11281.23125576006</v>
      </c>
    </row>
    <row r="8" spans="1:17">
      <c r="A8" s="461" t="s">
        <v>685</v>
      </c>
      <c r="B8" s="462">
        <f>industrie!B18</f>
        <v>1395.3935557966533</v>
      </c>
      <c r="C8" s="462">
        <f>industrie!C18</f>
        <v>0</v>
      </c>
      <c r="D8" s="462">
        <f>industrie!D18</f>
        <v>2631.6575230884168</v>
      </c>
      <c r="E8" s="462">
        <f>industrie!E18</f>
        <v>12.758961511020196</v>
      </c>
      <c r="F8" s="462">
        <f>industrie!F18</f>
        <v>628.30741319727395</v>
      </c>
      <c r="G8" s="462">
        <f>industrie!G18</f>
        <v>0</v>
      </c>
      <c r="H8" s="462">
        <f>industrie!H18</f>
        <v>0</v>
      </c>
      <c r="I8" s="462">
        <f>industrie!I18</f>
        <v>0</v>
      </c>
      <c r="J8" s="462">
        <f>industrie!J18</f>
        <v>1.0358809380135263</v>
      </c>
      <c r="K8" s="462">
        <f>industrie!K18</f>
        <v>0</v>
      </c>
      <c r="L8" s="462">
        <f>industrie!L18</f>
        <v>0</v>
      </c>
      <c r="M8" s="462">
        <f>industrie!M18</f>
        <v>0</v>
      </c>
      <c r="N8" s="462">
        <f>industrie!N18</f>
        <v>91.458523836670153</v>
      </c>
      <c r="O8" s="462">
        <f>industrie!O18</f>
        <v>0</v>
      </c>
      <c r="P8" s="463">
        <f>industrie!P18</f>
        <v>0</v>
      </c>
      <c r="Q8" s="461">
        <f t="shared" si="0"/>
        <v>4760.6118583680473</v>
      </c>
    </row>
    <row r="9" spans="1:17" s="467" customFormat="1">
      <c r="A9" s="465" t="s">
        <v>579</v>
      </c>
      <c r="B9" s="466">
        <f>transport!B14</f>
        <v>1.7721249869388016</v>
      </c>
      <c r="C9" s="466"/>
      <c r="D9" s="466">
        <f>transport!D14</f>
        <v>4.7549414713769753</v>
      </c>
      <c r="E9" s="466">
        <f>transport!E14</f>
        <v>277.12099609741273</v>
      </c>
      <c r="F9" s="466"/>
      <c r="G9" s="466">
        <f>transport!G14</f>
        <v>63743.466465569836</v>
      </c>
      <c r="H9" s="466">
        <f>transport!H14</f>
        <v>10595.512871298492</v>
      </c>
      <c r="I9" s="466"/>
      <c r="J9" s="466"/>
      <c r="K9" s="466"/>
      <c r="L9" s="466"/>
      <c r="M9" s="466">
        <f>transport!M14</f>
        <v>3323.1939103108707</v>
      </c>
      <c r="N9" s="466"/>
      <c r="O9" s="466"/>
      <c r="P9" s="466"/>
      <c r="Q9" s="465">
        <f>SUM(B9:P9)</f>
        <v>77945.821309734936</v>
      </c>
    </row>
    <row r="10" spans="1:17">
      <c r="A10" s="461" t="s">
        <v>569</v>
      </c>
      <c r="B10" s="462">
        <f>transport!B54</f>
        <v>1298.5292742474076</v>
      </c>
      <c r="C10" s="462"/>
      <c r="D10" s="462">
        <f>transport!D54</f>
        <v>0</v>
      </c>
      <c r="E10" s="462"/>
      <c r="F10" s="462"/>
      <c r="G10" s="462">
        <f>transport!G54</f>
        <v>320.39700639732627</v>
      </c>
      <c r="H10" s="462"/>
      <c r="I10" s="462"/>
      <c r="J10" s="462"/>
      <c r="K10" s="462"/>
      <c r="L10" s="462"/>
      <c r="M10" s="462">
        <f>transport!M54</f>
        <v>14.069161078828646</v>
      </c>
      <c r="N10" s="462"/>
      <c r="O10" s="462"/>
      <c r="P10" s="463"/>
      <c r="Q10" s="461">
        <f t="shared" si="0"/>
        <v>1632.9954417235626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73173.461667725263</v>
      </c>
      <c r="C14" s="472">
        <f t="shared" ref="C14:Q14" ca="1" si="1">SUM(C4:C13)</f>
        <v>0</v>
      </c>
      <c r="D14" s="472">
        <f t="shared" ca="1" si="1"/>
        <v>135834.19584773618</v>
      </c>
      <c r="E14" s="472">
        <f t="shared" si="1"/>
        <v>1131.6280497030591</v>
      </c>
      <c r="F14" s="472">
        <f t="shared" ca="1" si="1"/>
        <v>10961.235985579797</v>
      </c>
      <c r="G14" s="472">
        <f t="shared" si="1"/>
        <v>64063.863471967161</v>
      </c>
      <c r="H14" s="472">
        <f t="shared" si="1"/>
        <v>10595.512871298492</v>
      </c>
      <c r="I14" s="472">
        <f t="shared" si="1"/>
        <v>0</v>
      </c>
      <c r="J14" s="472">
        <f t="shared" si="1"/>
        <v>148.75920238504185</v>
      </c>
      <c r="K14" s="472">
        <f t="shared" si="1"/>
        <v>0</v>
      </c>
      <c r="L14" s="472">
        <f t="shared" ca="1" si="1"/>
        <v>0</v>
      </c>
      <c r="M14" s="472">
        <f t="shared" si="1"/>
        <v>3337.2630713896992</v>
      </c>
      <c r="N14" s="472">
        <f t="shared" ca="1" si="1"/>
        <v>1285.6647676682423</v>
      </c>
      <c r="O14" s="472">
        <f t="shared" si="1"/>
        <v>64.096666666666678</v>
      </c>
      <c r="P14" s="473">
        <f t="shared" si="1"/>
        <v>95.333333333333343</v>
      </c>
      <c r="Q14" s="473">
        <f t="shared" ca="1" si="1"/>
        <v>300691.0149354529</v>
      </c>
    </row>
    <row r="16" spans="1:17">
      <c r="A16" s="475" t="s">
        <v>574</v>
      </c>
      <c r="B16" s="829">
        <f ca="1">huishoudens!B10</f>
        <v>0.21567026160821534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7878.3407039852191</v>
      </c>
      <c r="C21" s="462">
        <f t="shared" ref="C21:C28" ca="1" si="3">C4*$C$16</f>
        <v>0</v>
      </c>
      <c r="D21" s="462">
        <f t="shared" ref="D21:D30" si="4">D4*$D$16</f>
        <v>15446.274569948546</v>
      </c>
      <c r="E21" s="462">
        <f t="shared" ref="E21:E30" si="5">E4*$E$16</f>
        <v>0</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23324.615273933763</v>
      </c>
    </row>
    <row r="22" spans="1:17">
      <c r="A22" s="461" t="s">
        <v>156</v>
      </c>
      <c r="B22" s="462">
        <f t="shared" ca="1" si="2"/>
        <v>6685.8822745932257</v>
      </c>
      <c r="C22" s="462">
        <f t="shared" ca="1" si="3"/>
        <v>0</v>
      </c>
      <c r="D22" s="462">
        <f t="shared" ca="1" si="4"/>
        <v>10241.383255101277</v>
      </c>
      <c r="E22" s="462">
        <f t="shared" si="5"/>
        <v>188.5231165500729</v>
      </c>
      <c r="F22" s="462">
        <f t="shared" ca="1" si="6"/>
        <v>1718.4094015773442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18834.198047821919</v>
      </c>
    </row>
    <row r="23" spans="1:17">
      <c r="A23" s="461" t="s">
        <v>194</v>
      </c>
      <c r="B23" s="462">
        <f t="shared" ca="1" si="2"/>
        <v>378.19074394570208</v>
      </c>
      <c r="C23" s="462"/>
      <c r="D23" s="462"/>
      <c r="E23" s="462"/>
      <c r="F23" s="462"/>
      <c r="G23" s="462"/>
      <c r="H23" s="462"/>
      <c r="I23" s="462"/>
      <c r="J23" s="462"/>
      <c r="K23" s="462"/>
      <c r="L23" s="462"/>
      <c r="M23" s="462"/>
      <c r="N23" s="462"/>
      <c r="O23" s="462"/>
      <c r="P23" s="463"/>
      <c r="Q23" s="461">
        <f t="shared" ca="1" si="17"/>
        <v>378.19074394570208</v>
      </c>
    </row>
    <row r="24" spans="1:17">
      <c r="A24" s="461" t="s">
        <v>112</v>
      </c>
      <c r="B24" s="462">
        <f t="shared" ca="1" si="2"/>
        <v>257.54466196539954</v>
      </c>
      <c r="C24" s="462">
        <f t="shared" ca="1" si="3"/>
        <v>0</v>
      </c>
      <c r="D24" s="462">
        <f t="shared" si="4"/>
        <v>1218.2944183518027</v>
      </c>
      <c r="E24" s="462">
        <f t="shared" si="5"/>
        <v>2.5537003554072268</v>
      </c>
      <c r="F24" s="462">
        <f t="shared" si="6"/>
        <v>1040.4825272487897</v>
      </c>
      <c r="G24" s="462">
        <f t="shared" si="7"/>
        <v>0</v>
      </c>
      <c r="H24" s="462">
        <f t="shared" si="8"/>
        <v>0</v>
      </c>
      <c r="I24" s="462">
        <f t="shared" si="9"/>
        <v>0</v>
      </c>
      <c r="J24" s="462">
        <f t="shared" si="10"/>
        <v>52.294055792248024</v>
      </c>
      <c r="K24" s="462">
        <f t="shared" si="11"/>
        <v>0</v>
      </c>
      <c r="L24" s="462">
        <f t="shared" si="12"/>
        <v>0</v>
      </c>
      <c r="M24" s="462">
        <f t="shared" si="13"/>
        <v>0</v>
      </c>
      <c r="N24" s="462">
        <f t="shared" si="14"/>
        <v>0</v>
      </c>
      <c r="O24" s="462">
        <f t="shared" si="15"/>
        <v>0</v>
      </c>
      <c r="P24" s="463">
        <f t="shared" si="16"/>
        <v>0</v>
      </c>
      <c r="Q24" s="461">
        <f t="shared" ca="1" si="17"/>
        <v>2571.1693637136473</v>
      </c>
    </row>
    <row r="25" spans="1:17">
      <c r="A25" s="461" t="s">
        <v>685</v>
      </c>
      <c r="B25" s="462">
        <f t="shared" ca="1" si="2"/>
        <v>300.94489322508207</v>
      </c>
      <c r="C25" s="462">
        <f t="shared" ca="1" si="3"/>
        <v>0</v>
      </c>
      <c r="D25" s="462">
        <f t="shared" si="4"/>
        <v>531.59481966386022</v>
      </c>
      <c r="E25" s="462">
        <f t="shared" si="5"/>
        <v>2.8962842630015846</v>
      </c>
      <c r="F25" s="462">
        <f t="shared" si="6"/>
        <v>167.75807932367215</v>
      </c>
      <c r="G25" s="462">
        <f t="shared" si="7"/>
        <v>0</v>
      </c>
      <c r="H25" s="462">
        <f t="shared" si="8"/>
        <v>0</v>
      </c>
      <c r="I25" s="462">
        <f t="shared" si="9"/>
        <v>0</v>
      </c>
      <c r="J25" s="462">
        <f t="shared" si="10"/>
        <v>0.36670185205678829</v>
      </c>
      <c r="K25" s="462">
        <f t="shared" si="11"/>
        <v>0</v>
      </c>
      <c r="L25" s="462">
        <f t="shared" si="12"/>
        <v>0</v>
      </c>
      <c r="M25" s="462">
        <f t="shared" si="13"/>
        <v>0</v>
      </c>
      <c r="N25" s="462">
        <f t="shared" si="14"/>
        <v>0</v>
      </c>
      <c r="O25" s="462">
        <f t="shared" si="15"/>
        <v>0</v>
      </c>
      <c r="P25" s="463">
        <f t="shared" si="16"/>
        <v>0</v>
      </c>
      <c r="Q25" s="461">
        <f t="shared" ca="1" si="17"/>
        <v>1003.5607783276728</v>
      </c>
    </row>
    <row r="26" spans="1:17" s="467" customFormat="1">
      <c r="A26" s="465" t="s">
        <v>579</v>
      </c>
      <c r="B26" s="823">
        <f t="shared" ca="1" si="2"/>
        <v>0.38219465953554654</v>
      </c>
      <c r="C26" s="466"/>
      <c r="D26" s="466">
        <f t="shared" si="4"/>
        <v>0.96049817721814912</v>
      </c>
      <c r="E26" s="466">
        <f t="shared" si="5"/>
        <v>62.906466114112689</v>
      </c>
      <c r="F26" s="466"/>
      <c r="G26" s="466">
        <f t="shared" si="7"/>
        <v>17019.505546307148</v>
      </c>
      <c r="H26" s="466">
        <f t="shared" si="8"/>
        <v>2638.2827049533244</v>
      </c>
      <c r="I26" s="466"/>
      <c r="J26" s="466"/>
      <c r="K26" s="466"/>
      <c r="L26" s="466"/>
      <c r="M26" s="466">
        <f t="shared" si="13"/>
        <v>0</v>
      </c>
      <c r="N26" s="466"/>
      <c r="O26" s="466"/>
      <c r="P26" s="477"/>
      <c r="Q26" s="465">
        <f t="shared" ca="1" si="17"/>
        <v>19722.037410211342</v>
      </c>
    </row>
    <row r="27" spans="1:17">
      <c r="A27" s="461" t="s">
        <v>569</v>
      </c>
      <c r="B27" s="462">
        <f t="shared" ca="1" si="2"/>
        <v>280.05414828286439</v>
      </c>
      <c r="C27" s="462"/>
      <c r="D27" s="466">
        <f t="shared" si="4"/>
        <v>0</v>
      </c>
      <c r="E27" s="462"/>
      <c r="F27" s="462"/>
      <c r="G27" s="462">
        <f t="shared" si="7"/>
        <v>85.546000708086112</v>
      </c>
      <c r="H27" s="462"/>
      <c r="I27" s="462"/>
      <c r="J27" s="462"/>
      <c r="K27" s="462"/>
      <c r="L27" s="462"/>
      <c r="M27" s="462">
        <f t="shared" si="13"/>
        <v>0</v>
      </c>
      <c r="N27" s="462"/>
      <c r="O27" s="462"/>
      <c r="P27" s="463"/>
      <c r="Q27" s="461">
        <f t="shared" ca="1" si="17"/>
        <v>365.60014899095052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15781.339620657029</v>
      </c>
      <c r="C31" s="472">
        <f t="shared" ca="1" si="18"/>
        <v>0</v>
      </c>
      <c r="D31" s="472">
        <f t="shared" ca="1" si="18"/>
        <v>27438.507561242699</v>
      </c>
      <c r="E31" s="472">
        <f t="shared" si="18"/>
        <v>256.87956728259439</v>
      </c>
      <c r="F31" s="472">
        <f t="shared" ca="1" si="18"/>
        <v>2926.6500081498061</v>
      </c>
      <c r="G31" s="472">
        <f t="shared" si="18"/>
        <v>17105.051547015235</v>
      </c>
      <c r="H31" s="472">
        <f t="shared" si="18"/>
        <v>2638.2827049533244</v>
      </c>
      <c r="I31" s="472">
        <f t="shared" si="18"/>
        <v>0</v>
      </c>
      <c r="J31" s="472">
        <f t="shared" si="18"/>
        <v>52.660757644304809</v>
      </c>
      <c r="K31" s="472">
        <f t="shared" si="18"/>
        <v>0</v>
      </c>
      <c r="L31" s="472">
        <f t="shared" ca="1" si="18"/>
        <v>0</v>
      </c>
      <c r="M31" s="472">
        <f t="shared" si="18"/>
        <v>0</v>
      </c>
      <c r="N31" s="472">
        <f t="shared" ca="1" si="18"/>
        <v>0</v>
      </c>
      <c r="O31" s="472">
        <f t="shared" si="18"/>
        <v>0</v>
      </c>
      <c r="P31" s="473">
        <f t="shared" si="18"/>
        <v>0</v>
      </c>
      <c r="Q31" s="473">
        <f t="shared" ca="1" si="18"/>
        <v>66199.371766944998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0.21567026160821534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0.21567026160821534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0.21567026160821534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2018-12-05T16:06:52Z</dcterms:modified>
</cp:coreProperties>
</file>