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V88"/>
  <c r="J8" s="1"/>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H8"/>
  <c r="G8"/>
  <c r="G9" s="1"/>
  <c r="F8"/>
  <c r="F9" s="1"/>
  <c r="D8"/>
  <c r="D9" s="1"/>
  <c r="C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1"/>
  <c r="I28" s="1"/>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J15" i="14"/>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D30"/>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D12" i="17" l="1"/>
  <c r="E48" i="14" s="1"/>
  <c r="D7" i="48"/>
  <c r="D24" s="1"/>
  <c r="E22" i="14"/>
  <c r="L28" i="48"/>
  <c r="F7"/>
  <c r="F24" s="1"/>
  <c r="I101" i="18"/>
  <c r="H16" s="1"/>
  <c r="I78" i="14" s="1"/>
  <c r="I81" s="1"/>
  <c r="E101" i="18"/>
  <c r="E16" s="1"/>
  <c r="F78" i="14" s="1"/>
  <c r="F81" s="1"/>
  <c r="C68"/>
  <c r="G101" i="18"/>
  <c r="C101"/>
  <c r="K22" i="14"/>
  <c r="P22" i="16"/>
  <c r="Q39" i="14" s="1"/>
  <c r="I16" i="18"/>
  <c r="J7" i="48"/>
  <c r="J24" s="1"/>
  <c r="B101" i="18"/>
  <c r="C16" s="1"/>
  <c r="D101"/>
  <c r="L5" i="17"/>
  <c r="L8" s="1"/>
  <c r="F101" i="18"/>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H19" i="18"/>
  <c r="I7"/>
  <c r="I9" s="1"/>
  <c r="J16"/>
  <c r="M16" s="1"/>
  <c r="M19" s="1"/>
  <c r="E19"/>
  <c r="E12" i="17"/>
  <c r="F48" i="14"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D67" i="14"/>
  <c r="N7" i="48"/>
  <c r="N24" s="1"/>
  <c r="N12" i="17"/>
  <c r="O48" i="14" s="1"/>
  <c r="K78"/>
  <c r="J19" i="18"/>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7" i="18" l="1"/>
  <c r="M9" s="1"/>
  <c r="J67"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Q4" i="48"/>
  <c r="N22"/>
  <c r="R11" i="14"/>
  <c r="J21" i="48"/>
  <c r="J14"/>
  <c r="R10" i="14"/>
  <c r="N22" i="16" l="1"/>
  <c r="O39" i="14" s="1"/>
  <c r="O41" s="1"/>
  <c r="O53" s="1"/>
  <c r="F8" i="48"/>
  <c r="F22" i="16"/>
  <c r="G39" i="14" s="1"/>
  <c r="G41" s="1"/>
  <c r="Q9" i="48"/>
  <c r="K13" i="14"/>
  <c r="K15" s="1"/>
  <c r="K23" s="1"/>
  <c r="J31" i="48"/>
  <c r="E25"/>
  <c r="E31" s="1"/>
  <c r="E14"/>
  <c r="N25"/>
  <c r="N14"/>
  <c r="E22" i="16"/>
  <c r="F39" i="14" s="1"/>
  <c r="F41" s="1"/>
  <c r="F53" s="1"/>
  <c r="J22" i="16"/>
  <c r="K39" i="14" s="1"/>
  <c r="K41" s="1"/>
  <c r="K53" s="1"/>
  <c r="K55" s="1"/>
  <c r="Q8" i="48"/>
  <c r="N31"/>
  <c r="F13" i="14"/>
  <c r="F15" s="1"/>
  <c r="F23" s="1"/>
  <c r="F55" s="1"/>
  <c r="G14" i="48"/>
  <c r="H55" i="14"/>
  <c r="M14" i="48"/>
  <c r="R19" i="14"/>
  <c r="R20" s="1"/>
  <c r="M26" i="48"/>
  <c r="M31" s="1"/>
  <c r="G53" i="14"/>
  <c r="G55" s="1"/>
  <c r="O69" s="1"/>
  <c r="B9" i="6" s="1"/>
  <c r="B12" s="1"/>
  <c r="M53" i="14"/>
  <c r="M55" s="1"/>
  <c r="C12" i="13"/>
  <c r="D37" i="14" s="1"/>
  <c r="D41" s="1"/>
  <c r="C24" i="48"/>
  <c r="C28"/>
  <c r="C22"/>
  <c r="C25"/>
  <c r="C21"/>
  <c r="R13" i="14"/>
  <c r="R15" s="1"/>
  <c r="F25" i="48"/>
  <c r="F31" s="1"/>
  <c r="F14"/>
  <c r="Q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<sst xmlns="http://schemas.openxmlformats.org/spreadsheetml/2006/main" count="2205" uniqueCount="914">
  <si>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</si>
  <si>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</si>
  <si>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</si>
  <si>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</si>
  <si>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</si>
  <si>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</si>
  <si>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</si>
  <si>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</si>
  <si>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</si>
  <si>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</si>
  <si>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</si>
  <si>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</si>
  <si>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</si>
  <si>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</si>
  <si>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</si>
  <si>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</si>
  <si>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</si>
  <si>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</si>
  <si>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</si>
  <si>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</si>
  <si>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</si>
  <si>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</si>
  <si>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</si>
  <si>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</si>
  <si>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</si>
  <si>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</si>
  <si>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</si>
  <si>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</si>
  <si>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</si>
  <si>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</si>
  <si>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</si>
  <si>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</si>
  <si>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</si>
  <si>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</si>
  <si>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</si>
  <si>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</si>
  <si>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</si>
  <si>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</si>
  <si>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</si>
  <si>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</si>
  <si>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</si>
  <si>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</si>
  <si>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</si>
  <si>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</si>
  <si>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</si>
  <si>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</si>
  <si>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</si>
  <si>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</si>
  <si>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</si>
  <si>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</si>
  <si>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</si>
  <si>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</si>
  <si>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</si>
  <si>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</si>
  <si>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</si>
  <si>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</si>
  <si>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</si>
  <si>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</si>
  <si>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</si>
  <si>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</si>
  <si>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</si>
  <si>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</si>
  <si>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</si>
  <si>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</si>
  <si>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</si>
  <si>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</si>
  <si>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</si>
  <si>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</si>
  <si>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</si>
  <si>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</si>
  <si>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</si>
  <si>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</si>
  <si>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</si>
  <si>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</si>
  <si>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</si>
  <si>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</si>
  <si>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</si>
  <si>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</si>
  <si>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</si>
  <si>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</si>
  <si>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</si>
  <si>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</si>
  <si>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</si>
  <si>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</si>
  <si>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</si>
  <si>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</si>
  <si>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</si>
  <si>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</si>
  <si>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</si>
  <si>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</si>
  <si>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</si>
  <si>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</si>
  <si>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</si>
  <si>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</si>
  <si>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</si>
  <si>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</si>
  <si>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</si>
  <si>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</si>
  <si>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</si>
  <si>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</si>
  <si>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</si>
  <si>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</si>
  <si>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</si>
  <si>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</si>
  <si>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</si>
  <si>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</si>
  <si>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</si>
  <si>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</si>
  <si>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</si>
  <si>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</si>
  <si>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</si>
  <si>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</si>
  <si>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</si>
  <si>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</si>
  <si>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</si>
  <si>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</si>
  <si>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</si>
  <si>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</si>
  <si>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</si>
  <si>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</si>
  <si>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</si>
  <si>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</si>
  <si>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</si>
  <si>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</si>
  <si>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</si>
  <si>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</si>
  <si>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</si>
  <si>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</si>
  <si>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</si>
  <si>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</si>
  <si>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</si>
  <si>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</si>
  <si>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</si>
  <si>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</si>
  <si>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</si>
  <si>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</si>
  <si>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</si>
  <si>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</si>
  <si>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</si>
  <si>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</si>
  <si>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</si>
  <si>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</si>
  <si>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</si>
  <si>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</si>
  <si>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</si>
  <si>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</si>
  <si>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</si>
  <si>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</si>
  <si>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</si>
  <si>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</si>
  <si>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</si>
  <si>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</si>
  <si>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</si>
  <si>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</si>
  <si>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</si>
  <si>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</si>
  <si>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</si>
  <si>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</si>
  <si>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</si>
  <si>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</si>
  <si>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</si>
  <si>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</si>
  <si>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</si>
  <si>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</si>
  <si>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</si>
  <si>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</si>
  <si>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</si>
  <si>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</si>
  <si>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</si>
  <si>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</si>
  <si>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</si>
  <si>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</si>
  <si>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</si>
  <si>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</si>
  <si>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</si>
  <si>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</si>
  <si>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</si>
  <si>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</si>
  <si>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</si>
  <si>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</si>
  <si>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</si>
  <si>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</si>
  <si>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</si>
  <si>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</si>
  <si>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</si>
  <si>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</si>
  <si>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</si>
  <si>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</si>
  <si>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</si>
  <si>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</si>
  <si>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</si>
  <si>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</si>
  <si>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</si>
  <si>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</si>
  <si>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</si>
  <si>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</si>
  <si>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</si>
  <si>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</si>
  <si>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</si>
  <si>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</si>
  <si>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</si>
  <si>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</si>
  <si>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</si>
  <si>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</si>
  <si>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</si>
  <si>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</si>
  <si>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</si>
  <si>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</si>
  <si>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</si>
  <si>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</si>
  <si>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</si>
  <si>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</si>
  <si>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</si>
  <si>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</si>
  <si>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</si>
  <si>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</si>
  <si>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</si>
  <si>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</si>
  <si>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</si>
  <si>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</si>
  <si>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</si>
  <si>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</si>
  <si>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</si>
  <si>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</si>
  <si>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</si>
  <si>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</si>
  <si>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</si>
  <si>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</si>
  <si>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</si>
  <si>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</si>
  <si>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</si>
  <si>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</si>
  <si>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</si>
  <si>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</si>
  <si>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</si>
  <si>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</si>
  <si>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</si>
  <si>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</si>
  <si>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</si>
  <si>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</si>
  <si>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</si>
  <si>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</si>
  <si>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</si>
  <si>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</si>
  <si>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</si>
  <si>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</si>
  <si>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</si>
  <si>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</si>
  <si>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</si>
  <si>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</si>
  <si>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</si>
  <si>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</si>
  <si>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</si>
  <si>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</si>
  <si>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</si>
  <si>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</si>
  <si>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</si>
  <si>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</si>
  <si>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</si>
  <si>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</si>
  <si>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</si>
  <si>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</si>
  <si>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</si>
  <si>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</si>
  <si>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</si>
  <si>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</si>
  <si>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</si>
  <si>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</si>
  <si>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</si>
  <si>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</si>
  <si>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</si>
  <si>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</si>
  <si>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</si>
  <si>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</si>
  <si>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</si>
  <si>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</si>
  <si>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</si>
  <si>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</si>
  <si>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</si>
  <si>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</si>
  <si>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</si>
  <si>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</si>
  <si>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</si>
  <si>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</si>
  <si>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</si>
  <si>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</si>
  <si>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</si>
  <si>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</si>
  <si>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</si>
  <si>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</si>
  <si>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</si>
  <si>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</si>
  <si>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</si>
  <si>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</si>
  <si>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</si>
  <si>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</si>
  <si>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</si>
  <si>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</si>
  <si>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</si>
  <si>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</si>
  <si>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</si>
  <si>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</si>
  <si>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</si>
  <si>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</si>
  <si>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</si>
  <si>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</si>
  <si>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</si>
  <si>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</si>
  <si>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</si>
  <si>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</si>
  <si>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</si>
  <si>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</si>
  <si>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</si>
  <si>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</si>
  <si>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</si>
  <si>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</si>
  <si>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</si>
  <si>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</si>
  <si>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</si>
  <si>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</si>
  <si>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</si>
  <si>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</si>
  <si>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</si>
  <si>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</si>
  <si>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</si>
  <si>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</si>
  <si>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</si>
  <si>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</si>
  <si>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</si>
  <si>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</si>
  <si>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</si>
  <si>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</si>
  <si>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</si>
  <si>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</si>
  <si>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</si>
  <si>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</si>
  <si>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</si>
  <si>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</si>
  <si>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</si>
  <si>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</si>
  <si>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</si>
  <si>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</si>
  <si>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</si>
  <si>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</si>
  <si>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</si>
  <si>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</si>
  <si>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</si>
  <si>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</si>
  <si>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</si>
  <si>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</si>
  <si>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</si>
  <si>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</si>
  <si>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</si>
  <si>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</si>
  <si>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</si>
  <si>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</si>
  <si>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</si>
  <si>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</si>
  <si>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</si>
  <si>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</si>
  <si>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</si>
  <si>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</si>
  <si>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</si>
  <si>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</si>
  <si>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</si>
  <si>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</si>
  <si>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</si>
  <si>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</si>
  <si>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</si>
  <si>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</si>
  <si>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</si>
  <si>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</si>
  <si>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</si>
  <si>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</si>
  <si>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</si>
  <si>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</si>
  <si>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</si>
  <si>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</si>
  <si>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</si>
  <si>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</si>
  <si>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</si>
  <si>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</si>
  <si>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</si>
  <si>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</si>
  <si>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</si>
  <si>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</si>
  <si>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</si>
  <si>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</si>
  <si>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</si>
  <si>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</si>
  <si>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</si>
  <si>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</si>
  <si>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</si>
  <si>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</si>
  <si>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</si>
  <si>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</si>
  <si>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</si>
  <si>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</si>
  <si>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</si>
  <si>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</si>
  <si>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</si>
  <si>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</si>
  <si>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</si>
  <si>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</si>
  <si>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</si>
  <si>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</si>
  <si>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</si>
  <si>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</si>
  <si>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</si>
  <si>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</si>
  <si>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</si>
  <si>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</si>
  <si>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</si>
  <si>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</si>
  <si>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</si>
  <si>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</si>
  <si>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</si>
  <si>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</si>
  <si>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</si>
  <si>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</si>
  <si>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</si>
  <si>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</si>
  <si>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</si>
  <si>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</si>
  <si>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</si>
  <si>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</si>
  <si>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</si>
  <si>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</si>
  <si>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</si>
  <si>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</si>
  <si>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</si>
  <si>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</si>
  <si>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</si>
  <si>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</si>
  <si>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</si>
  <si>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</si>
  <si>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</si>
  <si>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</si>
  <si>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</si>
  <si>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</si>
  <si>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</si>
  <si>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</si>
  <si>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</si>
  <si>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</si>
  <si>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</si>
  <si>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</si>
  <si>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</si>
  <si>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</si>
  <si>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</si>
  <si>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</si>
  <si>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</si>
  <si>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</si>
  <si>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</si>
  <si>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</si>
  <si>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</si>
  <si>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</si>
  <si>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</si>
  <si>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</si>
  <si>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</si>
  <si>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</si>
  <si>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</si>
  <si>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</si>
  <si>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</si>
  <si>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</si>
  <si>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</si>
  <si>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</si>
  <si>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</si>
  <si>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</si>
  <si>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</si>
  <si>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</si>
  <si>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</si>
  <si>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</si>
  <si>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</si>
  <si>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</si>
  <si>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</si>
  <si>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</si>
  <si>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</si>
  <si>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</si>
  <si>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</si>
  <si>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</si>
  <si>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</si>
  <si>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</si>
  <si>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</si>
  <si>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</si>
  <si>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</si>
  <si>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</si>
  <si>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</si>
  <si>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</si>
  <si>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</si>
  <si>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</si>
  <si>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</si>
  <si>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</si>
  <si>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</si>
  <si>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</si>
  <si>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</si>
  <si>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</si>
  <si>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</si>
  <si>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</si>
  <si>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</si>
  <si>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</si>
  <si>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</si>
  <si>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</si>
  <si>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</si>
  <si>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</si>
  <si>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</si>
  <si>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</si>
  <si>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</si>
  <si>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</si>
  <si>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</si>
  <si>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</si>
  <si>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</si>
  <si>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</si>
  <si>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</si>
  <si>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</si>
  <si>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</si>
  <si>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</si>
  <si>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</si>
  <si>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</si>
  <si>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</si>
  <si>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</si>
  <si>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</si>
  <si>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</si>
  <si>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</si>
  <si>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</si>
  <si>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</si>
  <si>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</si>
  <si>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</si>
  <si>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</si>
  <si>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</si>
  <si>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</si>
  <si>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</si>
  <si>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</si>
  <si>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</si>
  <si>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</si>
  <si>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</si>
  <si>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</si>
  <si>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</si>
  <si>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</si>
  <si>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</si>
  <si>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</si>
  <si>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</si>
  <si>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</si>
  <si>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</si>
  <si>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</si>
  <si>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</si>
  <si>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</si>
  <si>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</si>
  <si>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</si>
  <si>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</si>
  <si>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</si>
  <si>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</si>
  <si>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</si>
  <si>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</si>
  <si>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</si>
  <si>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</si>
  <si>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</si>
  <si>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</si>
  <si>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</si>
  <si>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</si>
  <si>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</si>
  <si>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</si>
  <si>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</si>
  <si>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</si>
  <si>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</si>
  <si>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</si>
  <si>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</si>
  <si>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</si>
  <si>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</si>
  <si>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</si>
  <si>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</si>
  <si>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</si>
  <si>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</si>
  <si>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</si>
  <si>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</si>
  <si>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</si>
  <si>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</si>
  <si>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</si>
  <si>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</si>
  <si>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</si>
  <si>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</si>
  <si>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</si>
  <si>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</si>
  <si>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</si>
  <si>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</si>
  <si>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</si>
  <si>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</si>
  <si>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</si>
  <si>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</si>
  <si>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</si>
  <si>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</si>
  <si>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</si>
  <si>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</si>
  <si>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</si>
  <si>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</si>
  <si>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</si>
  <si>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</si>
  <si>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</si>
  <si>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</si>
  <si>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</si>
  <si>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</si>
  <si>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</si>
  <si>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</si>
  <si>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</si>
  <si>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</si>
  <si>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</si>
  <si>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</si>
  <si>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</si>
  <si>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</si>
  <si>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</si>
  <si>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</si>
  <si>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</si>
  <si>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</si>
  <si>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</si>
  <si>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</si>
  <si>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</si>
  <si>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</si>
  <si>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</si>
  <si>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</si>
  <si>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</si>
  <si>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</si>
  <si>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</si>
  <si>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</si>
  <si>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</si>
  <si>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</si>
  <si>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</si>
  <si>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</si>
  <si>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</si>
  <si>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</si>
  <si>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</si>
  <si>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</si>
  <si>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</si>
  <si>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</si>
  <si>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</si>
  <si>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</si>
  <si>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</si>
  <si>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</si>
  <si>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</si>
  <si>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</si>
  <si>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</si>
  <si>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</si>
  <si>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</si>
  <si>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</si>
  <si>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</si>
  <si>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</si>
  <si>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</si>
  <si>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</si>
  <si>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</si>
  <si>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</si>
  <si>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</si>
  <si>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</si>
  <si>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</si>
  <si>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</si>
  <si>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</si>
  <si>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</si>
  <si>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</si>
  <si>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</si>
  <si>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</si>
  <si>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</si>
  <si>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</si>
  <si>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</si>
  <si>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</si>
  <si>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</si>
  <si>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</si>
  <si>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</si>
  <si>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</si>
  <si>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</si>
  <si>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</si>
  <si>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</si>
  <si>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</si>
  <si>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</si>
  <si>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</si>
  <si>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</si>
  <si>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</si>
  <si>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</si>
  <si>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</si>
  <si>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</si>
  <si>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</si>
  <si>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</si>
  <si>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</si>
  <si>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</si>
  <si>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</si>
  <si>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</si>
  <si>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</si>
  <si>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</si>
  <si>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</si>
  <si>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</si>
  <si>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</si>
  <si>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</si>
  <si>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</si>
  <si>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</si>
  <si>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</si>
  <si>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</si>
  <si>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</si>
  <si>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</si>
  <si>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</si>
  <si>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</si>
  <si>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</si>
  <si>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</si>
  <si>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</si>
  <si>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</si>
  <si>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</si>
  <si>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</si>
  <si>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</si>
  <si>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</si>
  <si>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</si>
  <si>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</si>
  <si>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</si>
  <si>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</si>
  <si>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</si>
  <si>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</si>
  <si>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</si>
  <si>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</si>
  <si>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</si>
  <si>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</si>
  <si>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</si>
  <si>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</si>
  <si>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</si>
  <si>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</si>
  <si>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</si>
  <si>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</si>
  <si>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</si>
  <si>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</si>
  <si>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</si>
  <si>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</si>
  <si>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</si>
  <si>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</si>
  <si>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</si>
  <si>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</si>
  <si>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</si>
  <si>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</si>
  <si>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</si>
  <si>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</si>
  <si>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</si>
  <si>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</si>
  <si>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</si>
  <si>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</si>
  <si>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</si>
  <si>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</si>
  <si>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</si>
  <si>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</si>
  <si>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</si>
  <si>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</si>
  <si>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</si>
  <si>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</si>
  <si>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</si>
  <si>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</si>
  <si>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</si>
  <si>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</si>
  <si>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</si>
  <si>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</si>
  <si>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</si>
  <si>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</si>
  <si>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</si>
  <si>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</si>
  <si>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</si>
  <si>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</si>
  <si>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</si>
  <si>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</si>
  <si>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</si>
  <si>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</si>
  <si>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</si>
  <si>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</si>
  <si>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</si>
  <si>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</si>
  <si>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</si>
  <si>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</si>
  <si>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</si>
  <si>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</si>
  <si>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</si>
  <si>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</si>
  <si>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</si>
  <si>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</si>
  <si>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</si>
  <si>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</si>
  <si>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</si>
  <si>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</si>
  <si>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</si>
  <si>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</si>
  <si>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</si>
  <si>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</si>
  <si>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</si>
  <si>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</si>
  <si>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</si>
  <si>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</si>
  <si>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</si>
  <si>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</si>
  <si>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</si>
  <si>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</si>
  <si>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</si>
  <si>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</si>
  <si>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</si>
  <si>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</si>
  <si>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</si>
  <si>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</si>
  <si>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</si>
  <si>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</si>
  <si>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</si>
  <si>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</si>
  <si>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</si>
  <si>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</si>
  <si>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</si>
  <si>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</si>
  <si>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</si>
  <si>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</si>
  <si>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</si>
  <si>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</si>
  <si>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</si>
  <si>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</si>
  <si>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</si>
  <si>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</si>
  <si>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</si>
  <si>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</si>
  <si>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</si>
  <si>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</si>
  <si>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</si>
  <si>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</si>
  <si>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</si>
  <si>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</si>
  <si>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</si>
  <si>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</si>
  <si>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</si>
  <si>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</si>
  <si>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</si>
  <si>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</si>
  <si>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</si>
  <si>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</si>
  <si>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</si>
  <si>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</si>
  <si>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</si>
  <si>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</si>
  <si>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</si>
  <si>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</si>
  <si>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</si>
  <si>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</si>
  <si>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</si>
  <si>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</si>
  <si>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</si>
  <si>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</si>
  <si>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</si>
  <si>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</si>
  <si>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</si>
  <si>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</si>
  <si>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</si>
  <si>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</si>
  <si>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</si>
  <si>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</si>
  <si>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</si>
  <si>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</si>
  <si>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</si>
  <si>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</si>
  <si>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</si>
  <si>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</si>
  <si>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</si>
  <si>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</si>
  <si>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</si>
  <si>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</si>
  <si>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</si>
  <si>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</si>
  <si>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</si>
  <si>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</si>
  <si>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</si>
  <si>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</si>
  <si>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</si>
  <si>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</si>
  <si>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</si>
  <si>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</si>
  <si>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</si>
  <si>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</si>
  <si>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</si>
  <si>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</si>
  <si>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</si>
  <si>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</si>
  <si>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</si>
  <si>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</si>
  <si>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</si>
  <si>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</si>
  <si>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</si>
  <si>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</si>
  <si>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</si>
  <si>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</si>
  <si>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</si>
  <si>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</si>
  <si>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</si>
  <si>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</si>
  <si>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</si>
  <si>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</si>
  <si>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</si>
  <si>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</si>
  <si>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</si>
  <si>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</si>
  <si>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</si>
  <si>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</si>
  <si>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</si>
  <si>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</si>
  <si>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</si>
  <si>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</si>
  <si>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</si>
  <si>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</si>
  <si>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</si>
  <si>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</si>
  <si>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</si>
  <si>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</si>
  <si>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</si>
  <si>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</si>
  <si>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</si>
  <si>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</si>
  <si>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</si>
  <si>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</si>
  <si>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34041</t>
  </si>
  <si>
    <t>WEVELGEM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</si>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</sst>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34041</v>
      </c>
      <c r="B6" s="397"/>
      <c r="C6" s="398"/>
    </row>
    <row r="7" spans="1:7" s="395" customFormat="1" ht="15.75" customHeight="1">
      <c r="A7" s="399" t="str">
        <f>txtMunicipality</f>
        <v>WEVELGEM</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12752</v>
      </c>
      <c r="C9" s="338">
        <v>12915</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1857</v>
      </c>
    </row>
    <row r="15" spans="1:6">
      <c r="A15" s="1260" t="s">
        <v>184</v>
      </c>
      <c r="B15" s="335">
        <v>22</v>
      </c>
    </row>
    <row r="16" spans="1:6">
      <c r="A16" s="1260" t="s">
        <v>6</v>
      </c>
      <c r="B16" s="335">
        <v>849</v>
      </c>
    </row>
    <row r="17" spans="1:6">
      <c r="A17" s="1260" t="s">
        <v>7</v>
      </c>
      <c r="B17" s="335">
        <v>423</v>
      </c>
    </row>
    <row r="18" spans="1:6">
      <c r="A18" s="1260" t="s">
        <v>8</v>
      </c>
      <c r="B18" s="335">
        <v>858</v>
      </c>
    </row>
    <row r="19" spans="1:6">
      <c r="A19" s="1260" t="s">
        <v>9</v>
      </c>
      <c r="B19" s="335">
        <v>916</v>
      </c>
    </row>
    <row r="20" spans="1:6">
      <c r="A20" s="1260" t="s">
        <v>10</v>
      </c>
      <c r="B20" s="335">
        <v>609</v>
      </c>
    </row>
    <row r="21" spans="1:6">
      <c r="A21" s="1260" t="s">
        <v>11</v>
      </c>
      <c r="B21" s="335">
        <v>5900</v>
      </c>
    </row>
    <row r="22" spans="1:6">
      <c r="A22" s="1260" t="s">
        <v>12</v>
      </c>
      <c r="B22" s="335">
        <v>27183</v>
      </c>
    </row>
    <row r="23" spans="1:6">
      <c r="A23" s="1260" t="s">
        <v>13</v>
      </c>
      <c r="B23" s="335">
        <v>315</v>
      </c>
    </row>
    <row r="24" spans="1:6">
      <c r="A24" s="1260" t="s">
        <v>14</v>
      </c>
      <c r="B24" s="335">
        <v>40</v>
      </c>
    </row>
    <row r="25" spans="1:6">
      <c r="A25" s="1260" t="s">
        <v>15</v>
      </c>
      <c r="B25" s="335">
        <v>1608</v>
      </c>
    </row>
    <row r="26" spans="1:6">
      <c r="A26" s="1260" t="s">
        <v>16</v>
      </c>
      <c r="B26" s="335">
        <v>80</v>
      </c>
    </row>
    <row r="27" spans="1:6">
      <c r="A27" s="1260" t="s">
        <v>17</v>
      </c>
      <c r="B27" s="335">
        <v>0</v>
      </c>
    </row>
    <row r="28" spans="1:6" s="341" customFormat="1">
      <c r="A28" s="1261" t="s">
        <v>18</v>
      </c>
      <c r="B28" s="1261">
        <v>42217</v>
      </c>
    </row>
    <row r="29" spans="1:6">
      <c r="A29" s="1261" t="s">
        <v>910</v>
      </c>
      <c r="B29" s="1261">
        <v>55</v>
      </c>
      <c r="C29" s="341"/>
      <c r="D29" s="341"/>
      <c r="E29" s="341"/>
      <c r="F29" s="341"/>
    </row>
    <row r="30" spans="1:6">
      <c r="A30" s="1256" t="s">
        <v>911</v>
      </c>
      <c r="B30" s="1256">
        <v>25</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3</v>
      </c>
      <c r="F35" s="335">
        <v>40500</v>
      </c>
    </row>
    <row r="36" spans="1:6">
      <c r="A36" s="1260" t="s">
        <v>25</v>
      </c>
      <c r="B36" s="1260" t="s">
        <v>27</v>
      </c>
      <c r="C36" s="335">
        <v>0</v>
      </c>
      <c r="D36" s="335">
        <v>0</v>
      </c>
      <c r="E36" s="335">
        <v>5</v>
      </c>
      <c r="F36" s="335">
        <v>69648</v>
      </c>
    </row>
    <row r="37" spans="1:6">
      <c r="A37" s="1260" t="s">
        <v>25</v>
      </c>
      <c r="B37" s="1260" t="s">
        <v>28</v>
      </c>
      <c r="C37" s="335">
        <v>0</v>
      </c>
      <c r="D37" s="335">
        <v>0</v>
      </c>
      <c r="E37" s="335">
        <v>0</v>
      </c>
      <c r="F37" s="335">
        <v>0</v>
      </c>
    </row>
    <row r="38" spans="1:6">
      <c r="A38" s="1260" t="s">
        <v>25</v>
      </c>
      <c r="B38" s="1260" t="s">
        <v>29</v>
      </c>
      <c r="C38" s="335">
        <v>2</v>
      </c>
      <c r="D38" s="335">
        <v>30580.551990035001</v>
      </c>
      <c r="E38" s="335">
        <v>0</v>
      </c>
      <c r="F38" s="335">
        <v>0</v>
      </c>
    </row>
    <row r="39" spans="1:6">
      <c r="A39" s="1260" t="s">
        <v>30</v>
      </c>
      <c r="B39" s="1260" t="s">
        <v>31</v>
      </c>
      <c r="C39" s="335">
        <v>9641</v>
      </c>
      <c r="D39" s="335">
        <v>165354659.79708901</v>
      </c>
      <c r="E39" s="335">
        <v>12759</v>
      </c>
      <c r="F39" s="335">
        <v>48825033.801110998</v>
      </c>
    </row>
    <row r="40" spans="1:6">
      <c r="A40" s="1260" t="s">
        <v>30</v>
      </c>
      <c r="B40" s="1260" t="s">
        <v>29</v>
      </c>
      <c r="C40" s="335">
        <v>0</v>
      </c>
      <c r="D40" s="335">
        <v>0</v>
      </c>
      <c r="E40" s="335">
        <v>1</v>
      </c>
      <c r="F40" s="335">
        <v>13365</v>
      </c>
    </row>
    <row r="41" spans="1:6">
      <c r="A41" s="1260" t="s">
        <v>32</v>
      </c>
      <c r="B41" s="1260" t="s">
        <v>33</v>
      </c>
      <c r="C41" s="335">
        <v>133</v>
      </c>
      <c r="D41" s="335">
        <v>12149843.5801952</v>
      </c>
      <c r="E41" s="335">
        <v>328</v>
      </c>
      <c r="F41" s="335">
        <v>23700388</v>
      </c>
    </row>
    <row r="42" spans="1:6">
      <c r="A42" s="1260" t="s">
        <v>32</v>
      </c>
      <c r="B42" s="1260" t="s">
        <v>34</v>
      </c>
      <c r="C42" s="335">
        <v>0</v>
      </c>
      <c r="D42" s="335">
        <v>0</v>
      </c>
      <c r="E42" s="335">
        <v>3</v>
      </c>
      <c r="F42" s="335">
        <v>5209353</v>
      </c>
    </row>
    <row r="43" spans="1:6">
      <c r="A43" s="1260" t="s">
        <v>32</v>
      </c>
      <c r="B43" s="1260" t="s">
        <v>35</v>
      </c>
      <c r="C43" s="335">
        <v>0</v>
      </c>
      <c r="D43" s="335">
        <v>0</v>
      </c>
      <c r="E43" s="335">
        <v>0</v>
      </c>
      <c r="F43" s="335">
        <v>0</v>
      </c>
    </row>
    <row r="44" spans="1:6">
      <c r="A44" s="1260" t="s">
        <v>32</v>
      </c>
      <c r="B44" s="1260" t="s">
        <v>36</v>
      </c>
      <c r="C44" s="335">
        <v>19</v>
      </c>
      <c r="D44" s="335">
        <v>7661927.3806435904</v>
      </c>
      <c r="E44" s="335">
        <v>75</v>
      </c>
      <c r="F44" s="335">
        <v>14170680</v>
      </c>
    </row>
    <row r="45" spans="1:6">
      <c r="A45" s="1260" t="s">
        <v>32</v>
      </c>
      <c r="B45" s="1260" t="s">
        <v>37</v>
      </c>
      <c r="C45" s="335">
        <v>0</v>
      </c>
      <c r="D45" s="335">
        <v>0</v>
      </c>
      <c r="E45" s="335">
        <v>11</v>
      </c>
      <c r="F45" s="335">
        <v>645541</v>
      </c>
    </row>
    <row r="46" spans="1:6">
      <c r="A46" s="1260" t="s">
        <v>32</v>
      </c>
      <c r="B46" s="1260" t="s">
        <v>38</v>
      </c>
      <c r="C46" s="335">
        <v>0</v>
      </c>
      <c r="D46" s="335">
        <v>0</v>
      </c>
      <c r="E46" s="335">
        <v>0</v>
      </c>
      <c r="F46" s="335">
        <v>0</v>
      </c>
    </row>
    <row r="47" spans="1:6">
      <c r="A47" s="1260" t="s">
        <v>32</v>
      </c>
      <c r="B47" s="1260" t="s">
        <v>39</v>
      </c>
      <c r="C47" s="335">
        <v>4</v>
      </c>
      <c r="D47" s="335">
        <v>143900.621465373</v>
      </c>
      <c r="E47" s="335">
        <v>12</v>
      </c>
      <c r="F47" s="335">
        <v>1596850</v>
      </c>
    </row>
    <row r="48" spans="1:6">
      <c r="A48" s="1260" t="s">
        <v>32</v>
      </c>
      <c r="B48" s="1260" t="s">
        <v>29</v>
      </c>
      <c r="C48" s="335">
        <v>61</v>
      </c>
      <c r="D48" s="335">
        <v>82052896.515000194</v>
      </c>
      <c r="E48" s="335">
        <v>5</v>
      </c>
      <c r="F48" s="335">
        <v>4654069</v>
      </c>
    </row>
    <row r="49" spans="1:6">
      <c r="A49" s="1260" t="s">
        <v>32</v>
      </c>
      <c r="B49" s="1260" t="s">
        <v>40</v>
      </c>
      <c r="C49" s="335">
        <v>9</v>
      </c>
      <c r="D49" s="335">
        <v>36222150.053347901</v>
      </c>
      <c r="E49" s="335">
        <v>41</v>
      </c>
      <c r="F49" s="335">
        <v>13972989</v>
      </c>
    </row>
    <row r="50" spans="1:6">
      <c r="A50" s="1260" t="s">
        <v>32</v>
      </c>
      <c r="B50" s="1260" t="s">
        <v>41</v>
      </c>
      <c r="C50" s="335">
        <v>22</v>
      </c>
      <c r="D50" s="335">
        <v>2026723.99627699</v>
      </c>
      <c r="E50" s="335">
        <v>56</v>
      </c>
      <c r="F50" s="335">
        <v>21434293</v>
      </c>
    </row>
    <row r="51" spans="1:6">
      <c r="A51" s="1260" t="s">
        <v>42</v>
      </c>
      <c r="B51" s="1260" t="s">
        <v>43</v>
      </c>
      <c r="C51" s="335">
        <v>3</v>
      </c>
      <c r="D51" s="335">
        <v>49522.0323053916</v>
      </c>
      <c r="E51" s="335">
        <v>89</v>
      </c>
      <c r="F51" s="335">
        <v>3663310</v>
      </c>
    </row>
    <row r="52" spans="1:6">
      <c r="A52" s="1260" t="s">
        <v>42</v>
      </c>
      <c r="B52" s="1260" t="s">
        <v>29</v>
      </c>
      <c r="C52" s="335">
        <v>2</v>
      </c>
      <c r="D52" s="335">
        <v>30980.319007171202</v>
      </c>
      <c r="E52" s="335">
        <v>1</v>
      </c>
      <c r="F52" s="335">
        <v>11915</v>
      </c>
    </row>
    <row r="53" spans="1:6">
      <c r="A53" s="1260" t="s">
        <v>44</v>
      </c>
      <c r="B53" s="1260" t="s">
        <v>45</v>
      </c>
      <c r="C53" s="335">
        <v>240</v>
      </c>
      <c r="D53" s="335">
        <v>5185041.4788326798</v>
      </c>
      <c r="E53" s="335">
        <v>1</v>
      </c>
      <c r="F53" s="335">
        <v>538</v>
      </c>
    </row>
    <row r="54" spans="1:6">
      <c r="A54" s="1260" t="s">
        <v>46</v>
      </c>
      <c r="B54" s="1260" t="s">
        <v>47</v>
      </c>
      <c r="C54" s="335">
        <v>0</v>
      </c>
      <c r="D54" s="335">
        <v>0</v>
      </c>
      <c r="E54" s="335">
        <v>151</v>
      </c>
      <c r="F54" s="335">
        <v>2597996</v>
      </c>
    </row>
    <row r="55" spans="1:6">
      <c r="A55" s="1260" t="s">
        <v>46</v>
      </c>
      <c r="B55" s="1260" t="s">
        <v>29</v>
      </c>
      <c r="C55" s="335">
        <v>0</v>
      </c>
      <c r="D55" s="335">
        <v>0</v>
      </c>
      <c r="E55" s="335">
        <v>0</v>
      </c>
      <c r="F55" s="335">
        <v>0</v>
      </c>
    </row>
    <row r="56" spans="1:6">
      <c r="A56" s="1260" t="s">
        <v>48</v>
      </c>
      <c r="B56" s="1260" t="s">
        <v>29</v>
      </c>
      <c r="C56" s="335">
        <v>0</v>
      </c>
      <c r="D56" s="335">
        <v>0</v>
      </c>
      <c r="E56" s="335">
        <v>164</v>
      </c>
      <c r="F56" s="335">
        <v>1130377</v>
      </c>
    </row>
    <row r="57" spans="1:6">
      <c r="A57" s="1260" t="s">
        <v>49</v>
      </c>
      <c r="B57" s="1260" t="s">
        <v>50</v>
      </c>
      <c r="C57" s="335">
        <v>113</v>
      </c>
      <c r="D57" s="335">
        <v>11671164.7511122</v>
      </c>
      <c r="E57" s="335">
        <v>157</v>
      </c>
      <c r="F57" s="335">
        <v>6251335</v>
      </c>
    </row>
    <row r="58" spans="1:6">
      <c r="A58" s="1260" t="s">
        <v>49</v>
      </c>
      <c r="B58" s="1260" t="s">
        <v>51</v>
      </c>
      <c r="C58" s="335">
        <v>17</v>
      </c>
      <c r="D58" s="335">
        <v>473862.55938290799</v>
      </c>
      <c r="E58" s="335">
        <v>33</v>
      </c>
      <c r="F58" s="335">
        <v>1174373</v>
      </c>
    </row>
    <row r="59" spans="1:6">
      <c r="A59" s="1260" t="s">
        <v>49</v>
      </c>
      <c r="B59" s="1260" t="s">
        <v>52</v>
      </c>
      <c r="C59" s="335">
        <v>241</v>
      </c>
      <c r="D59" s="335">
        <v>15239012.6876326</v>
      </c>
      <c r="E59" s="335">
        <v>488</v>
      </c>
      <c r="F59" s="335">
        <v>21578525</v>
      </c>
    </row>
    <row r="60" spans="1:6">
      <c r="A60" s="1260" t="s">
        <v>49</v>
      </c>
      <c r="B60" s="1260" t="s">
        <v>53</v>
      </c>
      <c r="C60" s="335">
        <v>86</v>
      </c>
      <c r="D60" s="335">
        <v>7097170.5149858501</v>
      </c>
      <c r="E60" s="335">
        <v>111</v>
      </c>
      <c r="F60" s="335">
        <v>3793354</v>
      </c>
    </row>
    <row r="61" spans="1:6">
      <c r="A61" s="1260" t="s">
        <v>49</v>
      </c>
      <c r="B61" s="1260" t="s">
        <v>54</v>
      </c>
      <c r="C61" s="335">
        <v>201</v>
      </c>
      <c r="D61" s="335">
        <v>9276305.2837016899</v>
      </c>
      <c r="E61" s="335">
        <v>513</v>
      </c>
      <c r="F61" s="335">
        <v>13170370</v>
      </c>
    </row>
    <row r="62" spans="1:6">
      <c r="A62" s="1260" t="s">
        <v>49</v>
      </c>
      <c r="B62" s="1260" t="s">
        <v>55</v>
      </c>
      <c r="C62" s="335">
        <v>15</v>
      </c>
      <c r="D62" s="335">
        <v>1342305.3868399099</v>
      </c>
      <c r="E62" s="335">
        <v>34</v>
      </c>
      <c r="F62" s="335">
        <v>590089</v>
      </c>
    </row>
    <row r="63" spans="1:6">
      <c r="A63" s="1260" t="s">
        <v>49</v>
      </c>
      <c r="B63" s="1260" t="s">
        <v>29</v>
      </c>
      <c r="C63" s="335">
        <v>110</v>
      </c>
      <c r="D63" s="335">
        <v>8842757.5497205108</v>
      </c>
      <c r="E63" s="335">
        <v>1</v>
      </c>
      <c r="F63" s="335">
        <v>117243</v>
      </c>
    </row>
    <row r="64" spans="1:6">
      <c r="A64" s="1260" t="s">
        <v>56</v>
      </c>
      <c r="B64" s="1260" t="s">
        <v>57</v>
      </c>
      <c r="C64" s="335">
        <v>0</v>
      </c>
      <c r="D64" s="335">
        <v>0</v>
      </c>
      <c r="E64" s="335">
        <v>7</v>
      </c>
      <c r="F64" s="335">
        <v>109470</v>
      </c>
    </row>
    <row r="65" spans="1:6">
      <c r="A65" s="1260" t="s">
        <v>56</v>
      </c>
      <c r="B65" s="1260" t="s">
        <v>29</v>
      </c>
      <c r="C65" s="335">
        <v>4</v>
      </c>
      <c r="D65" s="335">
        <v>234306.47168511999</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17</v>
      </c>
      <c r="F68" s="335">
        <v>364574</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30350767</v>
      </c>
      <c r="E73" s="335">
        <v>35492148.702712014</v>
      </c>
    </row>
    <row r="74" spans="1:6">
      <c r="A74" s="1260" t="s">
        <v>64</v>
      </c>
      <c r="B74" s="1260" t="s">
        <v>772</v>
      </c>
      <c r="C74" s="1271" t="s">
        <v>766</v>
      </c>
      <c r="D74" s="335">
        <v>3261585.2811942366</v>
      </c>
      <c r="E74" s="335">
        <v>3977247.6198758073</v>
      </c>
    </row>
    <row r="75" spans="1:6">
      <c r="A75" s="1260" t="s">
        <v>65</v>
      </c>
      <c r="B75" s="1260" t="s">
        <v>771</v>
      </c>
      <c r="C75" s="1271" t="s">
        <v>767</v>
      </c>
      <c r="D75" s="335">
        <v>47840713</v>
      </c>
      <c r="E75" s="335">
        <v>49826706.985528462</v>
      </c>
    </row>
    <row r="76" spans="1:6">
      <c r="A76" s="1260" t="s">
        <v>65</v>
      </c>
      <c r="B76" s="1260" t="s">
        <v>772</v>
      </c>
      <c r="C76" s="1271" t="s">
        <v>768</v>
      </c>
      <c r="D76" s="335">
        <v>1224724.2811942368</v>
      </c>
      <c r="E76" s="335">
        <v>1297694.6002283203</v>
      </c>
    </row>
    <row r="77" spans="1:6">
      <c r="A77" s="1260" t="s">
        <v>66</v>
      </c>
      <c r="B77" s="1260" t="s">
        <v>771</v>
      </c>
      <c r="C77" s="1271" t="s">
        <v>769</v>
      </c>
      <c r="D77" s="335">
        <v>138754237</v>
      </c>
      <c r="E77" s="335">
        <v>163060732.56795597</v>
      </c>
    </row>
    <row r="78" spans="1:6">
      <c r="A78" s="1256" t="s">
        <v>66</v>
      </c>
      <c r="B78" s="1256" t="s">
        <v>772</v>
      </c>
      <c r="C78" s="1256" t="s">
        <v>770</v>
      </c>
      <c r="D78" s="1256">
        <v>25615104</v>
      </c>
      <c r="E78" s="1256">
        <v>30628446.584893487</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408837.43761152646</v>
      </c>
      <c r="C83" s="335">
        <v>385880.53522918676</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5225.093974157272</v>
      </c>
    </row>
    <row r="92" spans="1:6">
      <c r="A92" s="1256" t="s">
        <v>69</v>
      </c>
      <c r="B92" s="338">
        <v>7914.6059733472721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7206</v>
      </c>
    </row>
    <row r="98" spans="1:6">
      <c r="A98" s="1260" t="s">
        <v>72</v>
      </c>
      <c r="B98" s="335">
        <v>0</v>
      </c>
    </row>
    <row r="99" spans="1:6">
      <c r="A99" s="1260" t="s">
        <v>73</v>
      </c>
      <c r="B99" s="335">
        <v>187</v>
      </c>
    </row>
    <row r="100" spans="1:6">
      <c r="A100" s="1260" t="s">
        <v>74</v>
      </c>
      <c r="B100" s="335">
        <v>935</v>
      </c>
    </row>
    <row r="101" spans="1:6">
      <c r="A101" s="1260" t="s">
        <v>75</v>
      </c>
      <c r="B101" s="335">
        <v>152</v>
      </c>
    </row>
    <row r="102" spans="1:6">
      <c r="A102" s="1260" t="s">
        <v>76</v>
      </c>
      <c r="B102" s="335">
        <v>190</v>
      </c>
    </row>
    <row r="103" spans="1:6">
      <c r="A103" s="1260" t="s">
        <v>77</v>
      </c>
      <c r="B103" s="335">
        <v>354</v>
      </c>
    </row>
    <row r="104" spans="1:6">
      <c r="A104" s="1260" t="s">
        <v>78</v>
      </c>
      <c r="B104" s="335">
        <v>2758</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8</v>
      </c>
      <c r="C123" s="335">
        <v>7</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68</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192400.73031937343</v>
      </c>
      <c r="C3" s="44" t="s">
        <v>170</v>
      </c>
      <c r="D3" s="44"/>
      <c r="E3" s="157"/>
      <c r="F3" s="44"/>
      <c r="G3" s="44"/>
      <c r="H3" s="44"/>
      <c r="I3" s="44"/>
      <c r="J3" s="44"/>
      <c r="K3" s="97"/>
    </row>
    <row r="4" spans="1:11">
      <c r="A4" s="365" t="s">
        <v>171</v>
      </c>
      <c r="B4" s="50">
        <f>IF(ISERROR('SEAP template'!B69),0,'SEAP template'!B69)</f>
        <v>13139.699947504545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0.20590715870164183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2597.9960000000001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2597.9960000000001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0.20590715870164183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534.94597467823075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48838.398801110998</v>
      </c>
      <c r="C5" s="18">
        <f>IF(ISERROR('Eigen informatie GS &amp; warmtenet'!B57),0,'Eigen informatie GS &amp; warmtenet'!B57)</f>
        <v>0</v>
      </c>
      <c r="D5" s="31">
        <f>(SUM(HH_hh_gas_kWh,HH_rest_gas_kWh)/1000)*0.902</f>
        <v>149149.90313697429</v>
      </c>
      <c r="E5" s="18">
        <f>B46*B57</f>
        <v>7824.3683065387931</v>
      </c>
      <c r="F5" s="18">
        <f>B51*B62</f>
        <v>11182.644450079408</v>
      </c>
      <c r="G5" s="19"/>
      <c r="H5" s="18"/>
      <c r="I5" s="18"/>
      <c r="J5" s="18">
        <f>B50*B61+C50*C61</f>
        <v>3487.0505797768647</v>
      </c>
      <c r="K5" s="18"/>
      <c r="L5" s="18"/>
      <c r="M5" s="18"/>
      <c r="N5" s="18">
        <f>B48*B59+C48*C59</f>
        <v>20654.091714016376</v>
      </c>
      <c r="O5" s="18">
        <f>B69*B70*B71</f>
        <v>117.25</v>
      </c>
      <c r="P5" s="18">
        <f>B77*B78*B79/1000-B77*B78*B79/1000/B80</f>
        <v>286</v>
      </c>
    </row>
    <row r="6" spans="1:16">
      <c r="A6" s="17" t="s">
        <v>639</v>
      </c>
      <c r="B6" s="831">
        <f>kWh_PV_kleiner_dan_10kW</f>
        <v>5225.093974157272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54063.492775268271</v>
      </c>
      <c r="C8" s="22">
        <f>C5</f>
        <v>0</v>
      </c>
      <c r="D8" s="22">
        <f>D5</f>
        <v>149149.90313697429</v>
      </c>
      <c r="E8" s="22">
        <f>E5</f>
        <v>7824.3683065387931</v>
      </c>
      <c r="F8" s="22">
        <f>F5</f>
        <v>11182.644450079408</v>
      </c>
      <c r="G8" s="22"/>
      <c r="H8" s="22"/>
      <c r="I8" s="22"/>
      <c r="J8" s="22">
        <f>J5</f>
        <v>3487.0505797768647</v>
      </c>
      <c r="K8" s="22"/>
      <c r="L8" s="22">
        <f>L5</f>
        <v>0</v>
      </c>
      <c r="M8" s="22">
        <f>M5</f>
        <v>0</v>
      </c>
      <c r="N8" s="22">
        <f>N5</f>
        <v>20654.091714016376</v>
      </c>
      <c r="O8" s="22">
        <f>O5</f>
        <v>117.25</v>
      </c>
      <c r="P8" s="22">
        <f>P5</f>
        <v>286</v>
      </c>
    </row>
    <row r="9" spans="1:16">
      <c r="B9" s="20"/>
      <c r="C9" s="20"/>
      <c r="D9" s="262"/>
      <c r="E9" s="20"/>
      <c r="F9" s="20"/>
      <c r="G9" s="20"/>
      <c r="H9" s="20"/>
      <c r="I9" s="20"/>
      <c r="J9" s="20"/>
      <c r="K9" s="20"/>
      <c r="L9" s="20"/>
      <c r="M9" s="20"/>
      <c r="N9" s="20"/>
      <c r="O9" s="20"/>
      <c r="P9" s="20"/>
    </row>
    <row r="10" spans="1:16">
      <c r="A10" s="25" t="s">
        <v>214</v>
      </c>
      <c r="B10" s="26">
        <f ca="1">'EF ele_warmte'!B12</f>
        <v>0.20590715870164183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11132.060186842231</v>
      </c>
      <c r="C12" s="24">
        <f ca="1">C10*C8</f>
        <v>0</v>
      </c>
      <c r="D12" s="24">
        <f>D8*D10</f>
        <v>30128.28043366881</v>
      </c>
      <c r="E12" s="24">
        <f>E10*E8</f>
        <v>1776.131605584306</v>
      </c>
      <c r="F12" s="24">
        <f>F10*F8</f>
        <v>2985.7660681712018</v>
      </c>
      <c r="G12" s="24"/>
      <c r="H12" s="24"/>
      <c r="I12" s="24"/>
      <c r="J12" s="24">
        <f>J10*J8</f>
        <v>1234.41590524101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7206</v>
      </c>
      <c r="C18" s="169" t="s">
        <v>111</v>
      </c>
      <c r="D18" s="231"/>
      <c r="E18" s="16"/>
    </row>
    <row r="19" spans="1:7">
      <c r="A19" s="174" t="s">
        <v>72</v>
      </c>
      <c r="B19" s="38">
        <f>aantalw2001_ander</f>
        <v>0</v>
      </c>
      <c r="C19" s="169" t="s">
        <v>111</v>
      </c>
      <c r="D19" s="232"/>
      <c r="E19" s="16"/>
    </row>
    <row r="20" spans="1:7">
      <c r="A20" s="174" t="s">
        <v>73</v>
      </c>
      <c r="B20" s="38">
        <f>aantalw2001_propaan</f>
        <v>187</v>
      </c>
      <c r="C20" s="170">
        <f>IF(ISERROR(B20/SUM($B$20,$B$21,$B$22)*100),0,B20/SUM($B$20,$B$21,$B$22)*100)</f>
        <v>14.678178963893249</v>
      </c>
      <c r="D20" s="232"/>
      <c r="E20" s="16"/>
    </row>
    <row r="21" spans="1:7">
      <c r="A21" s="174" t="s">
        <v>74</v>
      </c>
      <c r="B21" s="38">
        <f>aantalw2001_elektriciteit</f>
        <v>935</v>
      </c>
      <c r="C21" s="170">
        <f>IF(ISERROR(B21/SUM($B$20,$B$21,$B$22)*100),0,B21/SUM($B$20,$B$21,$B$22)*100)</f>
        <v>73.39089481946624</v>
      </c>
      <c r="D21" s="232"/>
      <c r="E21" s="16"/>
    </row>
    <row r="22" spans="1:7">
      <c r="A22" s="174" t="s">
        <v>75</v>
      </c>
      <c r="B22" s="38">
        <f>aantalw2001_hout</f>
        <v>152</v>
      </c>
      <c r="C22" s="170">
        <f>IF(ISERROR(B22/SUM($B$20,$B$21,$B$22)*100),0,B22/SUM($B$20,$B$21,$B$22)*100)</f>
        <v>11.930926216640502</v>
      </c>
      <c r="D22" s="232"/>
      <c r="E22" s="16"/>
    </row>
    <row r="23" spans="1:7">
      <c r="A23" s="174" t="s">
        <v>76</v>
      </c>
      <c r="B23" s="38">
        <f>aantalw2001_niet_gespec</f>
        <v>190</v>
      </c>
      <c r="C23" s="169" t="s">
        <v>111</v>
      </c>
      <c r="D23" s="231"/>
      <c r="E23" s="16"/>
    </row>
    <row r="24" spans="1:7">
      <c r="A24" s="174" t="s">
        <v>77</v>
      </c>
      <c r="B24" s="38">
        <f>aantalw2001_steenkool</f>
        <v>354</v>
      </c>
      <c r="C24" s="169" t="s">
        <v>111</v>
      </c>
      <c r="D24" s="232"/>
      <c r="E24" s="16"/>
    </row>
    <row r="25" spans="1:7">
      <c r="A25" s="174" t="s">
        <v>78</v>
      </c>
      <c r="B25" s="38">
        <f>aantalw2001_stookolie</f>
        <v>2758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12752</v>
      </c>
      <c r="C28" s="37"/>
      <c r="D28" s="231"/>
    </row>
    <row r="29" spans="1:7" s="16" customFormat="1">
      <c r="A29" s="233" t="s">
        <v>666</v>
      </c>
      <c r="B29" s="38">
        <f>SUM(HH_hh_gas_aantal,HH_rest_gas_aantal)</f>
        <v>9641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9641</v>
      </c>
      <c r="C32" s="170">
        <f>IF(ISERROR(B32/SUM($B$32,$B$34,$B$35,$B$36,$B$38,$B$39)*100),0,B32/SUM($B$32,$B$34,$B$35,$B$36,$B$38,$B$39)*100)</f>
        <v>75.692863311611831</v>
      </c>
      <c r="D32" s="236"/>
      <c r="G32" s="16"/>
    </row>
    <row r="33" spans="1:7">
      <c r="A33" s="174" t="s">
        <v>72</v>
      </c>
      <c r="B33" s="35" t="s">
        <v>111</v>
      </c>
      <c r="C33" s="170"/>
      <c r="D33" s="236"/>
      <c r="G33" s="16"/>
    </row>
    <row r="34" spans="1:7">
      <c r="A34" s="174" t="s">
        <v>73</v>
      </c>
      <c r="B34" s="34">
        <f>IF((($B$28-$B$32-$B$39-$B$77-$B$38)*C20/100)&lt;0,0,($B$28-$B$32-$B$39-$B$77-$B$38)*C20/100)</f>
        <v>355.0651491365777</v>
      </c>
      <c r="C34" s="170">
        <f>IF(ISERROR(B34/SUM($B$32,$B$34,$B$35,$B$36,$B$38,$B$39)*100),0,B34/SUM($B$32,$B$34,$B$35,$B$36,$B$38,$B$39)*100)</f>
        <v>2.7876670262744581</v>
      </c>
      <c r="D34" s="236"/>
      <c r="G34" s="16"/>
    </row>
    <row r="35" spans="1:7">
      <c r="A35" s="174" t="s">
        <v>74</v>
      </c>
      <c r="B35" s="34">
        <f>IF((($B$28-$B$32-$B$39-$B$77-$B$38)*C21/100)&lt;0,0,($B$28-$B$32-$B$39-$B$77-$B$38)*C21/100)</f>
        <v>1775.3257456828883</v>
      </c>
      <c r="C35" s="170">
        <f>IF(ISERROR(B35/SUM($B$32,$B$34,$B$35,$B$36,$B$38,$B$39)*100),0,B35/SUM($B$32,$B$34,$B$35,$B$36,$B$38,$B$39)*100)</f>
        <v>13.938335131372288</v>
      </c>
      <c r="D35" s="236"/>
      <c r="G35" s="16"/>
    </row>
    <row r="36" spans="1:7">
      <c r="A36" s="174" t="s">
        <v>75</v>
      </c>
      <c r="B36" s="34">
        <f>IF((($B$28-$B$32-$B$39-$B$77-$B$38)*C22/100)&lt;0,0,($B$28-$B$32-$B$39-$B$77-$B$38)*C22/100)</f>
        <v>288.60910518053373</v>
      </c>
      <c r="C36" s="170">
        <f>IF(ISERROR(B36/SUM($B$32,$B$34,$B$35,$B$36,$B$38,$B$39)*100),0,B36/SUM($B$32,$B$34,$B$35,$B$36,$B$38,$B$39)*100)</f>
        <v>2.2659111657418052</v>
      </c>
      <c r="D36" s="236"/>
      <c r="G36" s="16"/>
    </row>
    <row r="37" spans="1:7">
      <c r="A37" s="174" t="s">
        <v>76</v>
      </c>
      <c r="B37" s="35" t="s">
        <v>111</v>
      </c>
      <c r="C37" s="170"/>
      <c r="D37" s="176"/>
      <c r="G37" s="16"/>
    </row>
    <row r="38" spans="1:7">
      <c r="A38" s="174" t="s">
        <v>77</v>
      </c>
      <c r="B38" s="34">
        <f>IF((B24-(B29-B18)*0.1)&lt;0,0,B24-(B29-B18)*0.1)</f>
        <v>110.5</v>
      </c>
      <c r="C38" s="170">
        <f>IF(ISERROR(B38/SUM($B$32,$B$34,$B$35,$B$36,$B$38,$B$39)*100),0,B38/SUM($B$32,$B$34,$B$35,$B$36,$B$38,$B$39)*100)</f>
        <v>0.86755122870377632</v>
      </c>
      <c r="D38" s="237"/>
      <c r="G38" s="16"/>
    </row>
    <row r="39" spans="1:7">
      <c r="A39" s="174" t="s">
        <v>78</v>
      </c>
      <c r="B39" s="34">
        <f>IF((B25-(B29-B18))&lt;0,0,B25-(B29-B18)*0.9)</f>
        <v>566.5</v>
      </c>
      <c r="C39" s="170">
        <f>IF(ISERROR(B39/SUM($B$32,$B$34,$B$35,$B$36,$B$38,$B$39)*100),0,B39/SUM($B$32,$B$34,$B$35,$B$36,$B$38,$B$39)*100)</f>
        <v>4.4476721362958314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9641</v>
      </c>
      <c r="C44" s="35" t="s">
        <v>111</v>
      </c>
      <c r="D44" s="177"/>
    </row>
    <row r="45" spans="1:7">
      <c r="A45" s="174" t="s">
        <v>72</v>
      </c>
      <c r="B45" s="34" t="str">
        <f t="shared" si="0"/>
        <v>-</v>
      </c>
      <c r="C45" s="35" t="s">
        <v>111</v>
      </c>
      <c r="D45" s="177"/>
    </row>
    <row r="46" spans="1:7">
      <c r="A46" s="174" t="s">
        <v>73</v>
      </c>
      <c r="B46" s="34">
        <f t="shared" si="0"/>
        <v>355.0651491365777</v>
      </c>
      <c r="C46" s="35" t="s">
        <v>111</v>
      </c>
      <c r="D46" s="177"/>
    </row>
    <row r="47" spans="1:7">
      <c r="A47" s="174" t="s">
        <v>74</v>
      </c>
      <c r="B47" s="34">
        <f t="shared" si="0"/>
        <v>1775.3257456828883</v>
      </c>
      <c r="C47" s="35" t="s">
        <v>111</v>
      </c>
      <c r="D47" s="177"/>
    </row>
    <row r="48" spans="1:7">
      <c r="A48" s="174" t="s">
        <v>75</v>
      </c>
      <c r="B48" s="34">
        <f t="shared" si="0"/>
        <v>288.60910518053373</v>
      </c>
      <c r="C48" s="34">
        <f>B48*10</f>
        <v>2886.0910518053374</v>
      </c>
      <c r="D48" s="237"/>
    </row>
    <row r="49" spans="1:6">
      <c r="A49" s="174" t="s">
        <v>76</v>
      </c>
      <c r="B49" s="34" t="str">
        <f t="shared" si="0"/>
        <v>-</v>
      </c>
      <c r="C49" s="35" t="s">
        <v>111</v>
      </c>
      <c r="D49" s="237"/>
    </row>
    <row r="50" spans="1:6">
      <c r="A50" s="174" t="s">
        <v>77</v>
      </c>
      <c r="B50" s="34">
        <f t="shared" si="0"/>
        <v>110.5</v>
      </c>
      <c r="C50" s="34">
        <f>B50*2</f>
        <v>221</v>
      </c>
      <c r="D50" s="237"/>
    </row>
    <row r="51" spans="1:6">
      <c r="A51" s="174" t="s">
        <v>78</v>
      </c>
      <c r="B51" s="34">
        <f t="shared" si="0"/>
        <v>566.5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46675.289000000004</v>
      </c>
      <c r="C5" s="18">
        <f>IF(ISERROR('Eigen informatie GS &amp; warmtenet'!B58),0,'Eigen informatie GS &amp; warmtenet'!B58)</f>
        <v>0</v>
      </c>
      <c r="D5" s="31">
        <f>SUM(D6:D12)</f>
        <v>48656.206017504854</v>
      </c>
      <c r="E5" s="18">
        <f>SUM(E6:E12)</f>
        <v>388.34858904955655</v>
      </c>
      <c r="F5" s="18">
        <f>SUM(F6:F12)</f>
        <v>9305.2261004078246</v>
      </c>
      <c r="G5" s="19"/>
      <c r="H5" s="18"/>
      <c r="I5" s="18"/>
      <c r="J5" s="18">
        <f>SUM(J6:J12)</f>
        <v>0</v>
      </c>
      <c r="K5" s="18"/>
      <c r="L5" s="18"/>
      <c r="M5" s="18"/>
      <c r="N5" s="18">
        <f>SUM(N6:N12)</f>
        <v>3736.3105625097364</v>
      </c>
      <c r="O5" s="18">
        <f>B38*B39*B40</f>
        <v>0</v>
      </c>
      <c r="P5" s="18">
        <f>B46*B47*B48/1000-B46*B47*B48/1000/B49</f>
        <v>0</v>
      </c>
      <c r="R5" s="33"/>
    </row>
    <row r="6" spans="1:18">
      <c r="A6" s="33" t="s">
        <v>54</v>
      </c>
      <c r="B6" s="38">
        <f>B26</f>
        <v>13170.37</v>
      </c>
      <c r="C6" s="34"/>
      <c r="D6" s="38">
        <f>IF(ISERROR(TER_kantoor_gas_kWh/1000),0,TER_kantoor_gas_kWh/1000)*0.902</f>
        <v>8367.2273658989234</v>
      </c>
      <c r="E6" s="34">
        <f>$C$26*'E Balans VL '!I12/100/3.6*1000000</f>
        <v>21.615246485921123</v>
      </c>
      <c r="F6" s="34">
        <f>$C$26*('E Balans VL '!L12+'E Balans VL '!N12)/100/3.6*1000000</f>
        <v>1552.4767410218997</v>
      </c>
      <c r="G6" s="35"/>
      <c r="H6" s="34"/>
      <c r="I6" s="34"/>
      <c r="J6" s="34">
        <f>$C$26*('E Balans VL '!D12+'E Balans VL '!E12)/100/3.6*1000000</f>
        <v>0</v>
      </c>
      <c r="K6" s="34"/>
      <c r="L6" s="34"/>
      <c r="M6" s="34"/>
      <c r="N6" s="34">
        <f>$C$26*'E Balans VL '!Y12/100/3.6*1000000</f>
        <v>2.6610108916922419</v>
      </c>
      <c r="O6" s="34"/>
      <c r="P6" s="34"/>
      <c r="R6" s="33"/>
    </row>
    <row r="7" spans="1:18">
      <c r="A7" s="33" t="s">
        <v>53</v>
      </c>
      <c r="B7" s="38">
        <f t="shared" ref="B7:B12" si="0">B27</f>
        <v>3793.3539999999998</v>
      </c>
      <c r="C7" s="34"/>
      <c r="D7" s="38">
        <f>IF(ISERROR(TER_horeca_gas_kWh/1000),0,TER_horeca_gas_kWh/1000)*0.902</f>
        <v>6401.6478045172371</v>
      </c>
      <c r="E7" s="34">
        <f>$C$27*'E Balans VL '!I9/100/3.6*1000000</f>
        <v>196.84762330306293</v>
      </c>
      <c r="F7" s="34">
        <f>$C$27*('E Balans VL '!L9+'E Balans VL '!N9)/100/3.6*1000000</f>
        <v>865.64613527130416</v>
      </c>
      <c r="G7" s="35"/>
      <c r="H7" s="34"/>
      <c r="I7" s="34"/>
      <c r="J7" s="34">
        <f>$C$27*('E Balans VL '!D9+'E Balans VL '!E9)/100/3.6*1000000</f>
        <v>0</v>
      </c>
      <c r="K7" s="34"/>
      <c r="L7" s="34"/>
      <c r="M7" s="34"/>
      <c r="N7" s="34">
        <f>$C$27*'E Balans VL '!Y9/100/3.6*1000000</f>
        <v>0.40057644401968845</v>
      </c>
      <c r="O7" s="34"/>
      <c r="P7" s="34"/>
      <c r="R7" s="33"/>
    </row>
    <row r="8" spans="1:18">
      <c r="A8" s="6" t="s">
        <v>52</v>
      </c>
      <c r="B8" s="38">
        <f t="shared" si="0"/>
        <v>21578.525000000001</v>
      </c>
      <c r="C8" s="34"/>
      <c r="D8" s="38">
        <f>IF(ISERROR(TER_handel_gas_kWh/1000),0,TER_handel_gas_kWh/1000)*0.902</f>
        <v>13745.589444244604</v>
      </c>
      <c r="E8" s="34">
        <f>$C$28*'E Balans VL '!I13/100/3.6*1000000</f>
        <v>116.20300877328992</v>
      </c>
      <c r="F8" s="34">
        <f>$C$28*('E Balans VL '!L13+'E Balans VL '!N13)/100/3.6*1000000</f>
        <v>4400.5025035071476</v>
      </c>
      <c r="G8" s="35"/>
      <c r="H8" s="34"/>
      <c r="I8" s="34"/>
      <c r="J8" s="34">
        <f>$C$28*('E Balans VL '!D13+'E Balans VL '!E13)/100/3.6*1000000</f>
        <v>0</v>
      </c>
      <c r="K8" s="34"/>
      <c r="L8" s="34"/>
      <c r="M8" s="34"/>
      <c r="N8" s="34">
        <f>$C$28*'E Balans VL '!Y13/100/3.6*1000000</f>
        <v>107.29860953242923</v>
      </c>
      <c r="O8" s="34"/>
      <c r="P8" s="34"/>
      <c r="R8" s="33"/>
    </row>
    <row r="9" spans="1:18">
      <c r="A9" s="33" t="s">
        <v>51</v>
      </c>
      <c r="B9" s="38">
        <f t="shared" si="0"/>
        <v>1174.373</v>
      </c>
      <c r="C9" s="34"/>
      <c r="D9" s="38">
        <f>IF(ISERROR(TER_gezond_gas_kWh/1000),0,TER_gezond_gas_kWh/1000)*0.902</f>
        <v>427.42402856338299</v>
      </c>
      <c r="E9" s="34">
        <f>$C$29*'E Balans VL '!I10/100/3.6*1000000</f>
        <v>1.1638169979144852</v>
      </c>
      <c r="F9" s="34">
        <f>$C$29*('E Balans VL '!L10+'E Balans VL '!N10)/100/3.6*1000000</f>
        <v>407.47358099690854</v>
      </c>
      <c r="G9" s="35"/>
      <c r="H9" s="34"/>
      <c r="I9" s="34"/>
      <c r="J9" s="34">
        <f>$C$29*('E Balans VL '!D10+'E Balans VL '!E10)/100/3.6*1000000</f>
        <v>0</v>
      </c>
      <c r="K9" s="34"/>
      <c r="L9" s="34"/>
      <c r="M9" s="34"/>
      <c r="N9" s="34">
        <f>$C$29*'E Balans VL '!Y10/100/3.6*1000000</f>
        <v>10.119470405554761</v>
      </c>
      <c r="O9" s="34"/>
      <c r="P9" s="34"/>
      <c r="R9" s="33"/>
    </row>
    <row r="10" spans="1:18">
      <c r="A10" s="33" t="s">
        <v>50</v>
      </c>
      <c r="B10" s="38">
        <f t="shared" si="0"/>
        <v>6251.335</v>
      </c>
      <c r="C10" s="34"/>
      <c r="D10" s="38">
        <f>IF(ISERROR(TER_ander_gas_kWh/1000),0,TER_ander_gas_kWh/1000)*0.902</f>
        <v>10527.390605503206</v>
      </c>
      <c r="E10" s="34">
        <f>$C$30*'E Balans VL '!I14/100/3.6*1000000</f>
        <v>51.142168064380236</v>
      </c>
      <c r="F10" s="34">
        <f>$C$30*('E Balans VL '!L14+'E Balans VL '!N14)/100/3.6*1000000</f>
        <v>1827.6358516115522</v>
      </c>
      <c r="G10" s="35"/>
      <c r="H10" s="34"/>
      <c r="I10" s="34"/>
      <c r="J10" s="34">
        <f>$C$30*('E Balans VL '!D14+'E Balans VL '!E14)/100/3.6*1000000</f>
        <v>0</v>
      </c>
      <c r="K10" s="34"/>
      <c r="L10" s="34"/>
      <c r="M10" s="34"/>
      <c r="N10" s="34">
        <f>$C$30*'E Balans VL '!Y14/100/3.6*1000000</f>
        <v>3606.2000505419128</v>
      </c>
      <c r="O10" s="34"/>
      <c r="P10" s="34"/>
      <c r="R10" s="33"/>
    </row>
    <row r="11" spans="1:18">
      <c r="A11" s="33" t="s">
        <v>55</v>
      </c>
      <c r="B11" s="38">
        <f t="shared" si="0"/>
        <v>590.08900000000006</v>
      </c>
      <c r="C11" s="34"/>
      <c r="D11" s="38">
        <f>IF(ISERROR(TER_onderwijs_gas_kWh/1000),0,TER_onderwijs_gas_kWh/1000)*0.902</f>
        <v>1210.7594589295988</v>
      </c>
      <c r="E11" s="34">
        <f>$C$31*'E Balans VL '!I11/100/3.6*1000000</f>
        <v>0.36370596127313881</v>
      </c>
      <c r="F11" s="34">
        <f>$C$31*('E Balans VL '!L11+'E Balans VL '!N11)/100/3.6*1000000</f>
        <v>228.13796369622128</v>
      </c>
      <c r="G11" s="35"/>
      <c r="H11" s="34"/>
      <c r="I11" s="34"/>
      <c r="J11" s="34">
        <f>$C$31*('E Balans VL '!D11+'E Balans VL '!E11)/100/3.6*1000000</f>
        <v>0</v>
      </c>
      <c r="K11" s="34"/>
      <c r="L11" s="34"/>
      <c r="M11" s="34"/>
      <c r="N11" s="34">
        <f>$C$31*'E Balans VL '!Y11/100/3.6*1000000</f>
        <v>1.9194330636272618</v>
      </c>
      <c r="O11" s="34"/>
      <c r="P11" s="34"/>
      <c r="R11" s="33"/>
    </row>
    <row r="12" spans="1:18">
      <c r="A12" s="33" t="s">
        <v>260</v>
      </c>
      <c r="B12" s="38">
        <f t="shared" si="0"/>
        <v>117.24299999999999</v>
      </c>
      <c r="C12" s="34"/>
      <c r="D12" s="38">
        <f>IF(ISERROR(TER_rest_gas_kWh/1000),0,TER_rest_gas_kWh/1000)*0.902</f>
        <v>7976.1673098479005</v>
      </c>
      <c r="E12" s="34">
        <f>$C$32*'E Balans VL '!I8/100/3.6*1000000</f>
        <v>1.0130194637147385</v>
      </c>
      <c r="F12" s="34">
        <f>$C$32*('E Balans VL '!L8+'E Balans VL '!N8)/100/3.6*1000000</f>
        <v>23.353324302792608</v>
      </c>
      <c r="G12" s="35"/>
      <c r="H12" s="34"/>
      <c r="I12" s="34"/>
      <c r="J12" s="34">
        <f>$C$32*('E Balans VL '!D8+'E Balans VL '!E8)/100/3.6*1000000</f>
        <v>0</v>
      </c>
      <c r="K12" s="34"/>
      <c r="L12" s="34"/>
      <c r="M12" s="34"/>
      <c r="N12" s="34">
        <f>$C$32*'E Balans VL '!Y8/100/3.6*1000000</f>
        <v>7.7114116305000069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46675.289000000004</v>
      </c>
      <c r="C16" s="22">
        <f t="shared" ca="1" si="1"/>
        <v>0</v>
      </c>
      <c r="D16" s="22">
        <f t="shared" ca="1" si="1"/>
        <v>48656.206017504854</v>
      </c>
      <c r="E16" s="22">
        <f t="shared" si="1"/>
        <v>388.34858904955655</v>
      </c>
      <c r="F16" s="22">
        <f t="shared" ca="1" si="1"/>
        <v>9305.2261004078246</v>
      </c>
      <c r="G16" s="22">
        <f t="shared" si="1"/>
        <v>0</v>
      </c>
      <c r="H16" s="22">
        <f t="shared" si="1"/>
        <v>0</v>
      </c>
      <c r="I16" s="22">
        <f t="shared" si="1"/>
        <v>0</v>
      </c>
      <c r="J16" s="22">
        <f t="shared" si="1"/>
        <v>0</v>
      </c>
      <c r="K16" s="22">
        <f t="shared" si="1"/>
        <v>0</v>
      </c>
      <c r="L16" s="22">
        <f t="shared" ca="1" si="1"/>
        <v>0</v>
      </c>
      <c r="M16" s="22">
        <f t="shared" si="1"/>
        <v>0</v>
      </c>
      <c r="N16" s="22">
        <f t="shared" ca="1" si="1"/>
        <v>3736.3105625097364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0.20590715870164183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9610.7761395679991</v>
      </c>
      <c r="C20" s="24">
        <f t="shared" ref="C20:P20" ca="1" si="2">C16*C18</f>
        <v>0</v>
      </c>
      <c r="D20" s="24">
        <f t="shared" ca="1" si="2"/>
        <v>9828.5536155359805</v>
      </c>
      <c r="E20" s="24">
        <f t="shared" si="2"/>
        <v>88.155129714249341</v>
      </c>
      <c r="F20" s="24">
        <f t="shared" ca="1" si="2"/>
        <v>2484.4953688088895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13170.37</v>
      </c>
      <c r="C26" s="40">
        <f>IF(ISERROR(B26*3.6/1000000/'E Balans VL '!Z12*100),0,B26*3.6/1000000/'E Balans VL '!Z12*100)</f>
        <v>0.27986091761881599</v>
      </c>
      <c r="D26" s="240" t="s">
        <v>707</v>
      </c>
      <c r="F26" s="6"/>
    </row>
    <row r="27" spans="1:18">
      <c r="A27" s="234" t="s">
        <v>53</v>
      </c>
      <c r="B27" s="34">
        <f>IF(ISERROR(TER_horeca_ele_kWh/1000),0,TER_horeca_ele_kWh/1000)</f>
        <v>3793.3539999999998</v>
      </c>
      <c r="C27" s="40">
        <f>IF(ISERROR(B27*3.6/1000000/'E Balans VL '!Z9*100),0,B27*3.6/1000000/'E Balans VL '!Z9*100)</f>
        <v>0.29856629367927096</v>
      </c>
      <c r="D27" s="240" t="s">
        <v>707</v>
      </c>
      <c r="F27" s="6"/>
    </row>
    <row r="28" spans="1:18">
      <c r="A28" s="174" t="s">
        <v>52</v>
      </c>
      <c r="B28" s="34">
        <f>IF(ISERROR(TER_handel_ele_kWh/1000),0,TER_handel_ele_kWh/1000)</f>
        <v>21578.525000000001</v>
      </c>
      <c r="C28" s="40">
        <f>IF(ISERROR(B28*3.6/1000000/'E Balans VL '!Z13*100),0,B28*3.6/1000000/'E Balans VL '!Z13*100)</f>
        <v>0.60442603362065361</v>
      </c>
      <c r="D28" s="240" t="s">
        <v>707</v>
      </c>
      <c r="F28" s="6"/>
    </row>
    <row r="29" spans="1:18">
      <c r="A29" s="234" t="s">
        <v>51</v>
      </c>
      <c r="B29" s="34">
        <f>IF(ISERROR(TER_gezond_ele_kWh/1000),0,TER_gezond_ele_kWh/1000)</f>
        <v>1174.373</v>
      </c>
      <c r="C29" s="40">
        <f>IF(ISERROR(B29*3.6/1000000/'E Balans VL '!Z10*100),0,B29*3.6/1000000/'E Balans VL '!Z10*100)</f>
        <v>0.15023781830931152</v>
      </c>
      <c r="D29" s="240" t="s">
        <v>707</v>
      </c>
      <c r="F29" s="6"/>
    </row>
    <row r="30" spans="1:18">
      <c r="A30" s="234" t="s">
        <v>50</v>
      </c>
      <c r="B30" s="34">
        <f>IF(ISERROR(TER_ander_ele_kWh/1000),0,TER_ander_ele_kWh/1000)</f>
        <v>6251.335</v>
      </c>
      <c r="C30" s="40">
        <f>IF(ISERROR(B30*3.6/1000000/'E Balans VL '!Z14*100),0,B30*3.6/1000000/'E Balans VL '!Z14*100)</f>
        <v>0.4675471833311215</v>
      </c>
      <c r="D30" s="240" t="s">
        <v>707</v>
      </c>
      <c r="F30" s="6"/>
    </row>
    <row r="31" spans="1:18">
      <c r="A31" s="234" t="s">
        <v>55</v>
      </c>
      <c r="B31" s="34">
        <f>IF(ISERROR(TER_onderwijs_ele_kWh/1000),0,TER_onderwijs_ele_kWh/1000)</f>
        <v>590.08900000000006</v>
      </c>
      <c r="C31" s="40">
        <f>IF(ISERROR(B31*3.6/1000000/'E Balans VL '!Z11*100),0,B31*3.6/1000000/'E Balans VL '!Z11*100)</f>
        <v>0.12459805671063043</v>
      </c>
      <c r="D31" s="240" t="s">
        <v>707</v>
      </c>
    </row>
    <row r="32" spans="1:18">
      <c r="A32" s="234" t="s">
        <v>260</v>
      </c>
      <c r="B32" s="34">
        <f>IF(ISERROR(TER_rest_ele_kWh/1000),0,TER_rest_ele_kWh/1000)</f>
        <v>117.24299999999999</v>
      </c>
      <c r="C32" s="40">
        <f>IF(ISERROR(B32*3.6/1000000/'E Balans VL '!Z8*100),0,B32*3.6/1000000/'E Balans VL '!Z8*100)</f>
        <v>9.6583986914834251E-4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85384.163000000015</v>
      </c>
      <c r="C5" s="18">
        <f>IF(ISERROR('Eigen informatie GS &amp; warmtenet'!B59),0,'Eigen informatie GS &amp; warmtenet'!B59)</f>
        <v>0</v>
      </c>
      <c r="D5" s="31">
        <f>SUM(D6:D15)</f>
        <v>126512.21281653017</v>
      </c>
      <c r="E5" s="18">
        <f>SUM(E6:E15)</f>
        <v>655.96760234975943</v>
      </c>
      <c r="F5" s="18">
        <f>SUM(F6:F15)</f>
        <v>25020.491668900293</v>
      </c>
      <c r="G5" s="19"/>
      <c r="H5" s="18"/>
      <c r="I5" s="18"/>
      <c r="J5" s="18">
        <f>SUM(J6:J15)</f>
        <v>262.37237956844854</v>
      </c>
      <c r="K5" s="18"/>
      <c r="L5" s="18"/>
      <c r="M5" s="18"/>
      <c r="N5" s="18">
        <f>SUM(N6:N15)</f>
        <v>3038.6663732289753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14170.68</v>
      </c>
      <c r="C8" s="34"/>
      <c r="D8" s="38">
        <f>IF( ISERROR(IND_metaal_Gas_kWH/1000),0,IND_metaal_Gas_kWH/1000)*0.902</f>
        <v>6911.0584973405184</v>
      </c>
      <c r="E8" s="34">
        <f>C30*'E Balans VL '!I18/100/3.6*1000000</f>
        <v>129.04982902839328</v>
      </c>
      <c r="F8" s="34">
        <f>C30*'E Balans VL '!L18/100/3.6*1000000+C30*'E Balans VL '!N18/100/3.6*1000000</f>
        <v>1869.0050780077518</v>
      </c>
      <c r="G8" s="35"/>
      <c r="H8" s="34"/>
      <c r="I8" s="34"/>
      <c r="J8" s="41">
        <f>C30*'E Balans VL '!D18/100/3.6*1000000+C30*'E Balans VL '!E18/100/3.6*1000000</f>
        <v>232.37857691352667</v>
      </c>
      <c r="K8" s="34"/>
      <c r="L8" s="34"/>
      <c r="M8" s="34"/>
      <c r="N8" s="34">
        <f>C30*'E Balans VL '!Y18/100/3.6*1000000</f>
        <v>48.698997871810207</v>
      </c>
      <c r="O8" s="34"/>
      <c r="P8" s="34"/>
      <c r="R8" s="33"/>
    </row>
    <row r="9" spans="1:18">
      <c r="A9" s="6" t="s">
        <v>33</v>
      </c>
      <c r="B9" s="38">
        <f t="shared" si="0"/>
        <v>23700.387999999999</v>
      </c>
      <c r="C9" s="34"/>
      <c r="D9" s="38">
        <f>IF( ISERROR(IND_andere_gas_kWh/1000),0,IND_andere_gas_kWh/1000)*0.902</f>
        <v>10959.158909336071</v>
      </c>
      <c r="E9" s="34">
        <f>C31*'E Balans VL '!I19/100/3.6*1000000</f>
        <v>136.99178437003957</v>
      </c>
      <c r="F9" s="34">
        <f>C31*'E Balans VL '!L19/100/3.6*1000000+C31*'E Balans VL '!N19/100/3.6*1000000</f>
        <v>18854.79907154258</v>
      </c>
      <c r="G9" s="35"/>
      <c r="H9" s="34"/>
      <c r="I9" s="34"/>
      <c r="J9" s="41">
        <f>C31*'E Balans VL '!D19/100/3.6*1000000+C31*'E Balans VL '!E19/100/3.6*1000000</f>
        <v>2.2417934483465189</v>
      </c>
      <c r="K9" s="34"/>
      <c r="L9" s="34"/>
      <c r="M9" s="34"/>
      <c r="N9" s="34">
        <f>C31*'E Balans VL '!Y19/100/3.6*1000000</f>
        <v>1795.6630562535597</v>
      </c>
      <c r="O9" s="34"/>
      <c r="P9" s="34"/>
      <c r="R9" s="33"/>
    </row>
    <row r="10" spans="1:18">
      <c r="A10" s="6" t="s">
        <v>41</v>
      </c>
      <c r="B10" s="38">
        <f t="shared" si="0"/>
        <v>21434.293000000001</v>
      </c>
      <c r="C10" s="34"/>
      <c r="D10" s="38">
        <f>IF( ISERROR(IND_voed_gas_kWh/1000),0,IND_voed_gas_kWh/1000)*0.902</f>
        <v>1828.1050446418451</v>
      </c>
      <c r="E10" s="34">
        <f>C32*'E Balans VL '!I20/100/3.6*1000000</f>
        <v>210.75517554381182</v>
      </c>
      <c r="F10" s="34">
        <f>C32*'E Balans VL '!L20/100/3.6*1000000+C32*'E Balans VL '!N20/100/3.6*1000000</f>
        <v>2380.5580118543139</v>
      </c>
      <c r="G10" s="35"/>
      <c r="H10" s="34"/>
      <c r="I10" s="34"/>
      <c r="J10" s="41">
        <f>C32*'E Balans VL '!D20/100/3.6*1000000+C32*'E Balans VL '!E20/100/3.6*1000000</f>
        <v>8.4482279296510379E-2</v>
      </c>
      <c r="K10" s="34"/>
      <c r="L10" s="34"/>
      <c r="M10" s="34"/>
      <c r="N10" s="34">
        <f>C32*'E Balans VL '!Y20/100/3.6*1000000</f>
        <v>317.39146055833589</v>
      </c>
      <c r="O10" s="34"/>
      <c r="P10" s="34"/>
      <c r="R10" s="33"/>
    </row>
    <row r="11" spans="1:18">
      <c r="A11" s="6" t="s">
        <v>40</v>
      </c>
      <c r="B11" s="38">
        <f t="shared" si="0"/>
        <v>13972.989</v>
      </c>
      <c r="C11" s="34"/>
      <c r="D11" s="38">
        <f>IF( ISERROR(IND_textiel_gas_kWh/1000),0,IND_textiel_gas_kWh/1000)*0.902</f>
        <v>32672.379348119804</v>
      </c>
      <c r="E11" s="34">
        <f>C33*'E Balans VL '!I21/100/3.6*1000000</f>
        <v>27.208654206705376</v>
      </c>
      <c r="F11" s="34">
        <f>C33*'E Balans VL '!L21/100/3.6*1000000+C33*'E Balans VL '!N21/100/3.6*1000000</f>
        <v>460.87502963345918</v>
      </c>
      <c r="G11" s="35"/>
      <c r="H11" s="34"/>
      <c r="I11" s="34"/>
      <c r="J11" s="41">
        <f>C33*'E Balans VL '!D21/100/3.6*1000000+C33*'E Balans VL '!E21/100/3.6*1000000</f>
        <v>0</v>
      </c>
      <c r="K11" s="34"/>
      <c r="L11" s="34"/>
      <c r="M11" s="34"/>
      <c r="N11" s="34">
        <f>C33*'E Balans VL '!Y21/100/3.6*1000000</f>
        <v>144.93664736839344</v>
      </c>
      <c r="O11" s="34"/>
      <c r="P11" s="34"/>
      <c r="R11" s="33"/>
    </row>
    <row r="12" spans="1:18">
      <c r="A12" s="6" t="s">
        <v>37</v>
      </c>
      <c r="B12" s="38">
        <f t="shared" si="0"/>
        <v>645.54100000000005</v>
      </c>
      <c r="C12" s="34"/>
      <c r="D12" s="38">
        <f>IF( ISERROR(IND_min_gas_kWh/1000),0,IND_min_gas_kWh/1000)*0.902</f>
        <v>0</v>
      </c>
      <c r="E12" s="34">
        <f>C34*'E Balans VL '!I22/100/3.6*1000000</f>
        <v>16.36561308703207</v>
      </c>
      <c r="F12" s="34">
        <f>C34*'E Balans VL '!L22/100/3.6*1000000+C34*'E Balans VL '!N22/100/3.6*1000000</f>
        <v>178.62344479143286</v>
      </c>
      <c r="G12" s="35"/>
      <c r="H12" s="34"/>
      <c r="I12" s="34"/>
      <c r="J12" s="41">
        <f>C34*'E Balans VL '!D22/100/3.6*1000000+C34*'E Balans VL '!E22/100/3.6*1000000</f>
        <v>4.2632824860629057</v>
      </c>
      <c r="K12" s="34"/>
      <c r="L12" s="34"/>
      <c r="M12" s="34"/>
      <c r="N12" s="34">
        <f>C34*'E Balans VL '!Y22/100/3.6*1000000</f>
        <v>0</v>
      </c>
      <c r="O12" s="34"/>
      <c r="P12" s="34"/>
      <c r="R12" s="33"/>
    </row>
    <row r="13" spans="1:18">
      <c r="A13" s="6" t="s">
        <v>39</v>
      </c>
      <c r="B13" s="38">
        <f t="shared" si="0"/>
        <v>1596.85</v>
      </c>
      <c r="C13" s="34"/>
      <c r="D13" s="38">
        <f>IF( ISERROR(IND_papier_gas_kWh/1000),0,IND_papier_gas_kWh/1000)*0.902</f>
        <v>129.79836056176646</v>
      </c>
      <c r="E13" s="34">
        <f>C35*'E Balans VL '!I23/100/3.6*1000000</f>
        <v>54.391026282811168</v>
      </c>
      <c r="F13" s="34">
        <f>C35*'E Balans VL '!L23/100/3.6*1000000+C35*'E Balans VL '!N23/100/3.6*1000000</f>
        <v>263.76214273721939</v>
      </c>
      <c r="G13" s="35"/>
      <c r="H13" s="34"/>
      <c r="I13" s="34"/>
      <c r="J13" s="41">
        <f>C35*'E Balans VL '!D23/100/3.6*1000000+C35*'E Balans VL '!E23/100/3.6*1000000</f>
        <v>0</v>
      </c>
      <c r="K13" s="34"/>
      <c r="L13" s="34"/>
      <c r="M13" s="34"/>
      <c r="N13" s="34">
        <f>C35*'E Balans VL '!Y23/100/3.6*1000000</f>
        <v>587.59797580273414</v>
      </c>
      <c r="O13" s="34"/>
      <c r="P13" s="34"/>
      <c r="R13" s="33"/>
    </row>
    <row r="14" spans="1:18">
      <c r="A14" s="6" t="s">
        <v>34</v>
      </c>
      <c r="B14" s="38">
        <f t="shared" si="0"/>
        <v>5209.3530000000001</v>
      </c>
      <c r="C14" s="34"/>
      <c r="D14" s="38">
        <f>IF( ISERROR(IND_chemie_gas_kWh/1000),0,IND_chemie_gas_kWh/1000)*0.902</f>
        <v>0</v>
      </c>
      <c r="E14" s="34">
        <f>C36*'E Balans VL '!I24/100/3.6*1000000</f>
        <v>39.385494156719069</v>
      </c>
      <c r="F14" s="34">
        <f>C36*'E Balans VL '!L24/100/3.6*1000000+C36*'E Balans VL '!N24/100/3.6*1000000</f>
        <v>96.387433390811537</v>
      </c>
      <c r="G14" s="35"/>
      <c r="H14" s="34"/>
      <c r="I14" s="34"/>
      <c r="J14" s="41">
        <f>C36*'E Balans VL '!D24/100/3.6*1000000+C36*'E Balans VL '!E24/100/3.6*1000000</f>
        <v>0</v>
      </c>
      <c r="K14" s="34"/>
      <c r="L14" s="34"/>
      <c r="M14" s="34"/>
      <c r="N14" s="34">
        <f>C36*'E Balans VL '!Y24/100/3.6*1000000</f>
        <v>1.5105780409022207</v>
      </c>
      <c r="O14" s="34"/>
      <c r="P14" s="34"/>
      <c r="R14" s="33"/>
    </row>
    <row r="15" spans="1:18">
      <c r="A15" s="6" t="s">
        <v>270</v>
      </c>
      <c r="B15" s="38">
        <f t="shared" si="0"/>
        <v>4654.0690000000004</v>
      </c>
      <c r="C15" s="34"/>
      <c r="D15" s="38">
        <f>IF( ISERROR(IND_rest_gas_kWh/1000),0,IND_rest_gas_kWh/1000)*0.902</f>
        <v>74011.712656530173</v>
      </c>
      <c r="E15" s="34">
        <f>C37*'E Balans VL '!I15/100/3.6*1000000</f>
        <v>41.820025674247105</v>
      </c>
      <c r="F15" s="34">
        <f>C37*'E Balans VL '!L15/100/3.6*1000000+C37*'E Balans VL '!N15/100/3.6*1000000</f>
        <v>916.48145694272887</v>
      </c>
      <c r="G15" s="35"/>
      <c r="H15" s="34"/>
      <c r="I15" s="34"/>
      <c r="J15" s="41">
        <f>C37*'E Balans VL '!D15/100/3.6*1000000+C37*'E Balans VL '!E15/100/3.6*1000000</f>
        <v>23.404244441215933</v>
      </c>
      <c r="K15" s="34"/>
      <c r="L15" s="34"/>
      <c r="M15" s="34"/>
      <c r="N15" s="34">
        <f>C37*'E Balans VL '!Y15/100/3.6*1000000</f>
        <v>142.86765733323969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85384.163000000015</v>
      </c>
      <c r="C18" s="22">
        <f>C5+C16</f>
        <v>0</v>
      </c>
      <c r="D18" s="22">
        <f>MAX((D5+D16),0)</f>
        <v>126512.21281653017</v>
      </c>
      <c r="E18" s="22">
        <f>MAX((E5+E16),0)</f>
        <v>655.96760234975943</v>
      </c>
      <c r="F18" s="22">
        <f>MAX((F5+F16),0)</f>
        <v>25020.491668900293</v>
      </c>
      <c r="G18" s="22"/>
      <c r="H18" s="22"/>
      <c r="I18" s="22"/>
      <c r="J18" s="22">
        <f>MAX((J5+J16),0)</f>
        <v>262.37237956844854</v>
      </c>
      <c r="K18" s="22"/>
      <c r="L18" s="22">
        <f>MAX((L5+L16),0)</f>
        <v>0</v>
      </c>
      <c r="M18" s="22"/>
      <c r="N18" s="22">
        <f>MAX((N5+N16),0)</f>
        <v>3038.6663732289753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0.20590715870164183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17581.210401447857</v>
      </c>
      <c r="C22" s="24">
        <f ca="1">C18*C20</f>
        <v>0</v>
      </c>
      <c r="D22" s="24">
        <f>D18*D20</f>
        <v>25555.466988939097</v>
      </c>
      <c r="E22" s="24">
        <f>E18*E20</f>
        <v>148.9046457333954</v>
      </c>
      <c r="F22" s="24">
        <f>F18*F20</f>
        <v>6680.4712755963783</v>
      </c>
      <c r="G22" s="24"/>
      <c r="H22" s="24"/>
      <c r="I22" s="24"/>
      <c r="J22" s="24">
        <f>J18*J20</f>
        <v>92.879822367230773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14170.68</v>
      </c>
      <c r="C30" s="40">
        <f>IF(ISERROR(B30*3.6/1000000/'E Balans VL '!Z18*100),0,B30*3.6/1000000/'E Balans VL '!Z18*100)</f>
        <v>0.78850358347584348</v>
      </c>
      <c r="D30" s="240" t="s">
        <v>707</v>
      </c>
    </row>
    <row r="31" spans="1:18">
      <c r="A31" s="6" t="s">
        <v>33</v>
      </c>
      <c r="B31" s="38">
        <f>IF( ISERROR(IND_ander_ele_kWh/1000),0,IND_ander_ele_kWh/1000)</f>
        <v>23700.387999999999</v>
      </c>
      <c r="C31" s="40">
        <f>IF(ISERROR(B31*3.6/1000000/'E Balans VL '!Z19*100),0,B31*3.6/1000000/'E Balans VL '!Z19*100)</f>
        <v>1.1017687937266167</v>
      </c>
      <c r="D31" s="240" t="s">
        <v>707</v>
      </c>
    </row>
    <row r="32" spans="1:18">
      <c r="A32" s="174" t="s">
        <v>41</v>
      </c>
      <c r="B32" s="38">
        <f>IF( ISERROR(IND_voed_ele_kWh/1000),0,IND_voed_ele_kWh/1000)</f>
        <v>21434.293000000001</v>
      </c>
      <c r="C32" s="40">
        <f>IF(ISERROR(B32*3.6/1000000/'E Balans VL '!Z20*100),0,B32*3.6/1000000/'E Balans VL '!Z20*100)</f>
        <v>0.75765896916200437</v>
      </c>
      <c r="D32" s="240" t="s">
        <v>707</v>
      </c>
    </row>
    <row r="33" spans="1:5">
      <c r="A33" s="174" t="s">
        <v>40</v>
      </c>
      <c r="B33" s="38">
        <f>IF( ISERROR(IND_textiel_ele_kWh/1000),0,IND_textiel_ele_kWh/1000)</f>
        <v>13972.989</v>
      </c>
      <c r="C33" s="40">
        <f>IF(ISERROR(B33*3.6/1000000/'E Balans VL '!Z21*100),0,B33*3.6/1000000/'E Balans VL '!Z21*100)</f>
        <v>1.8872641896994842</v>
      </c>
      <c r="D33" s="240" t="s">
        <v>707</v>
      </c>
    </row>
    <row r="34" spans="1:5">
      <c r="A34" s="174" t="s">
        <v>37</v>
      </c>
      <c r="B34" s="38">
        <f>IF( ISERROR(IND_min_ele_kWh/1000),0,IND_min_ele_kWh/1000)</f>
        <v>645.54100000000005</v>
      </c>
      <c r="C34" s="40">
        <f>IF(ISERROR(B34*3.6/1000000/'E Balans VL '!Z22*100),0,B34*3.6/1000000/'E Balans VL '!Z22*100)</f>
        <v>0.12973553735879367</v>
      </c>
      <c r="D34" s="240" t="s">
        <v>707</v>
      </c>
    </row>
    <row r="35" spans="1:5">
      <c r="A35" s="174" t="s">
        <v>39</v>
      </c>
      <c r="B35" s="38">
        <f>IF( ISERROR(IND_papier_ele_kWh/1000),0,IND_papier_ele_kWh/1000)</f>
        <v>1596.85</v>
      </c>
      <c r="C35" s="40">
        <f>IF(ISERROR(B35*3.6/1000000/'E Balans VL '!Z22*100),0,B35*3.6/1000000/'E Balans VL '!Z22*100)</f>
        <v>0.32092182035128619</v>
      </c>
      <c r="D35" s="240" t="s">
        <v>707</v>
      </c>
    </row>
    <row r="36" spans="1:5">
      <c r="A36" s="174" t="s">
        <v>34</v>
      </c>
      <c r="B36" s="38">
        <f>IF( ISERROR(IND_chemie_ele_kWh/1000),0,IND_chemie_ele_kWh/1000)</f>
        <v>5209.3530000000001</v>
      </c>
      <c r="C36" s="40">
        <f>IF(ISERROR(B36*3.6/1000000/'E Balans VL '!Z24*100),0,B36*3.6/1000000/'E Balans VL '!Z24*100)</f>
        <v>0.1282814836773086</v>
      </c>
      <c r="D36" s="240" t="s">
        <v>707</v>
      </c>
    </row>
    <row r="37" spans="1:5">
      <c r="A37" s="174" t="s">
        <v>270</v>
      </c>
      <c r="B37" s="38">
        <f>IF( ISERROR(IND_rest_ele_kWh/1000),0,IND_rest_ele_kWh/1000)</f>
        <v>4654.0690000000004</v>
      </c>
      <c r="C37" s="40">
        <f>IF(ISERROR(B37*3.6/1000000/'E Balans VL '!Z15*100),0,B37*3.6/1000000/'E Balans VL '!Z15*100)</f>
        <v>3.5145096049530956E-2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3675.2249999999999</v>
      </c>
      <c r="C5" s="18">
        <f>'Eigen informatie GS &amp; warmtenet'!B60</f>
        <v>0</v>
      </c>
      <c r="D5" s="31">
        <f>IF(ISERROR(SUM(LB_lb_gas_kWh,LB_rest_gas_kWh,onbekend_gas_kWh)/1000),0,SUM(LB_lb_gas_kWh,LB_rest_gas_kWh,onbekend_gas_kWh)/1000)*0.902</f>
        <v>4749.5205347910087</v>
      </c>
      <c r="E5" s="18">
        <f>B17*'E Balans VL '!I25/3.6*1000000/100</f>
        <v>34.623081981527022</v>
      </c>
      <c r="F5" s="18">
        <f>B17*('E Balans VL '!L25/3.6*1000000+'E Balans VL '!N25/3.6*1000000)/100</f>
        <v>11993.478875059462</v>
      </c>
      <c r="G5" s="19"/>
      <c r="H5" s="18"/>
      <c r="I5" s="18"/>
      <c r="J5" s="18">
        <f>('E Balans VL '!D25+'E Balans VL '!E25)/3.6*1000000*landbouw!B17/100</f>
        <v>454.64320879096618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3675.2249999999999</v>
      </c>
      <c r="C8" s="22">
        <f>C5+C6</f>
        <v>0</v>
      </c>
      <c r="D8" s="22">
        <f>MAX((D5+D6),0)</f>
        <v>4749.5205347910087</v>
      </c>
      <c r="E8" s="22">
        <f>MAX((E5+E6),0)</f>
        <v>34.623081981527022</v>
      </c>
      <c r="F8" s="22">
        <f>MAX((F5+F6),0)</f>
        <v>11993.478875059462</v>
      </c>
      <c r="G8" s="22"/>
      <c r="H8" s="22"/>
      <c r="I8" s="22"/>
      <c r="J8" s="22">
        <f>MAX((J5+J6),0)</f>
        <v>454.64320879096618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0.20590715870164183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756.75513733924163</v>
      </c>
      <c r="C12" s="24">
        <f ca="1">C8*C10</f>
        <v>0</v>
      </c>
      <c r="D12" s="24">
        <f>D8*D10</f>
        <v>959.4031480277838</v>
      </c>
      <c r="E12" s="24">
        <f>E8*E10</f>
        <v>7.8594396098066346</v>
      </c>
      <c r="F12" s="24">
        <f>F8*F10</f>
        <v>3202.2588596408764</v>
      </c>
      <c r="G12" s="24"/>
      <c r="H12" s="24"/>
      <c r="I12" s="24"/>
      <c r="J12" s="24">
        <f>J8*J10</f>
        <v>160.94369591200203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0.49756673678186319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315.67748967997409</v>
      </c>
      <c r="C26" s="250">
        <f>B26*'GWP N2O_CH4'!B5</f>
        <v>6629.2272832794561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208.12568726277573</v>
      </c>
      <c r="C27" s="250">
        <f>B27*'GWP N2O_CH4'!B5</f>
        <v>4370.6394325182901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4.5874638009460913</v>
      </c>
      <c r="C28" s="250">
        <f>B28*'GWP N2O_CH4'!B4</f>
        <v>1422.1137782932883</v>
      </c>
      <c r="D28" s="51"/>
    </row>
    <row r="29" spans="1:4">
      <c r="A29" s="42" t="s">
        <v>277</v>
      </c>
      <c r="B29" s="250">
        <f>B34*'ha_N2O bodem landbouw'!B4</f>
        <v>10.242032534138847</v>
      </c>
      <c r="C29" s="250">
        <f>B29*'GWP N2O_CH4'!B4</f>
        <v>3175.0300855830424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2.7650263623003471E-3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1.6432358778450262E-5</v>
      </c>
      <c r="C5" s="447" t="s">
        <v>211</v>
      </c>
      <c r="D5" s="432">
        <f>SUM(D6:D11)</f>
        <v>4.8052268473677717E-5</v>
      </c>
      <c r="E5" s="432">
        <f>SUM(E6:E11)</f>
        <v>3.1661545448391946E-3</v>
      </c>
      <c r="F5" s="445" t="s">
        <v>211</v>
      </c>
      <c r="G5" s="432">
        <f>SUM(G6:G11)</f>
        <v>0.70268844572671063</v>
      </c>
      <c r="H5" s="432">
        <f>SUM(H6:H11)</f>
        <v>0.10987991673254005</v>
      </c>
      <c r="I5" s="447" t="s">
        <v>211</v>
      </c>
      <c r="J5" s="447" t="s">
        <v>211</v>
      </c>
      <c r="K5" s="447" t="s">
        <v>211</v>
      </c>
      <c r="L5" s="447" t="s">
        <v>211</v>
      </c>
      <c r="M5" s="432">
        <f>SUM(M6:M11)</f>
        <v>3.631728299493317E-2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2.2988916280156314E-6</v>
      </c>
      <c r="C6" s="433"/>
      <c r="D6" s="433">
        <f>vkm_2011_GW_PW*SUMIFS(TableVerdeelsleutelVkm[CNG],TableVerdeelsleutelVkm[Voertuigtype],"Lichte voertuigen")*SUMIFS(TableECFTransport[EnergieConsumptieFactor (PJ per km)],TableECFTransport[Index],CONCATENATE($A6,"_CNG_CNG"))</f>
        <v>5.6139318553969787E-6</v>
      </c>
      <c r="E6" s="435">
        <f>vkm_2011_GW_PW*SUMIFS(TableVerdeelsleutelVkm[LPG],TableVerdeelsleutelVkm[Voertuigtype],"Lichte voertuigen")*SUMIFS(TableECFTransport[EnergieConsumptieFactor (PJ per km)],TableECFTransport[Index],CONCATENATE($A6,"_LPG_LPG"))</f>
        <v>3.3276486836831653E-4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4.8105076194311806E-2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1.2606958437290787E-2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2.7187967188725768E-3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3.0324721097281772E-2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1.2234842701251591E-5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1.3509569424808908E-3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3.6236519028991449E-6</v>
      </c>
      <c r="C8" s="433"/>
      <c r="D8" s="435">
        <f>vkm_2011_NGW_PW*SUMIFS(TableVerdeelsleutelVkm[CNG],TableVerdeelsleutelVkm[Voertuigtype],"Lichte voertuigen")*SUMIFS(TableECFTransport[EnergieConsumptieFactor (PJ per km)],TableECFTransport[Index],CONCATENATE($A8,"_CNG_CNG"))</f>
        <v>1.5876642884771993E-5</v>
      </c>
      <c r="E8" s="435">
        <f>vkm_2011_NGW_PW*SUMIFS(TableVerdeelsleutelVkm[LPG],TableVerdeelsleutelVkm[Voertuigtype],"Lichte voertuigen")*SUMIFS(TableECFTransport[EnergieConsumptieFactor (PJ per km)],TableECFTransport[Index],CONCATENATE($A8,"_LPG_LPG"))</f>
        <v>8.6335142882661305E-4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0.11790386714836835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3.4141666073152895E-2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6.8119795656220216E-3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1.5786690026258474E-2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5.545733619303725E-6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7.0325448731278675E-4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1.0509815247535484E-5</v>
      </c>
      <c r="C10" s="433"/>
      <c r="D10" s="435">
        <f>vkm_2011_SW_PW*SUMIFS(TableVerdeelsleutelVkm[CNG],TableVerdeelsleutelVkm[Voertuigtype],"Lichte voertuigen")*SUMIFS(TableECFTransport[EnergieConsumptieFactor (PJ per km)],TableECFTransport[Index],CONCATENATE($A10,"_CNG_CNG"))</f>
        <v>2.6561693733508748E-5</v>
      </c>
      <c r="E10" s="435">
        <f>vkm_2011_SW_PW*SUMIFS(TableVerdeelsleutelVkm[LPG],TableVerdeelsleutelVkm[Voertuigtype],"Lichte voertuigen")*SUMIFS(TableECFTransport[EnergieConsumptieFactor (PJ per km)],TableECFTransport[Index],CONCATENATE($A10,"_LPG_LPG"))</f>
        <v>1.9700382476442648E-3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0.25954152063741975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6.3014620400019219E-2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1.4439873198993303E-2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0.23102657062307044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9.8891245756599355E-5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1.0292422081651592E-2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4.5645441051250728</v>
      </c>
      <c r="C14" s="22"/>
      <c r="D14" s="22">
        <f t="shared" ref="D14:M14" si="0">((D5)*10^9/3600)+D12</f>
        <v>13.347852353799366</v>
      </c>
      <c r="E14" s="22">
        <f t="shared" si="0"/>
        <v>879.4873735664429</v>
      </c>
      <c r="F14" s="22"/>
      <c r="G14" s="22">
        <f t="shared" si="0"/>
        <v>195191.23492408631</v>
      </c>
      <c r="H14" s="22">
        <f t="shared" si="0"/>
        <v>30522.199092372237</v>
      </c>
      <c r="I14" s="22"/>
      <c r="J14" s="22"/>
      <c r="K14" s="22"/>
      <c r="L14" s="22"/>
      <c r="M14" s="22">
        <f t="shared" si="0"/>
        <v>10088.134165259215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0.20590715870164183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0.93987230745463213</v>
      </c>
      <c r="C18" s="24"/>
      <c r="D18" s="24">
        <f t="shared" ref="D18:M18" si="1">D14*D16</f>
        <v>2.6962661754674722</v>
      </c>
      <c r="E18" s="24">
        <f t="shared" si="1"/>
        <v>199.64363379958255</v>
      </c>
      <c r="F18" s="24"/>
      <c r="G18" s="24">
        <f t="shared" si="1"/>
        <v>52116.059724731051</v>
      </c>
      <c r="H18" s="24">
        <f t="shared" si="1"/>
        <v>7600.0275740006873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5.3587420228347225E-3</v>
      </c>
      <c r="H50" s="323">
        <f t="shared" si="2"/>
        <v>0</v>
      </c>
      <c r="I50" s="323">
        <f t="shared" si="2"/>
        <v>0</v>
      </c>
      <c r="J50" s="323">
        <f t="shared" si="2"/>
        <v>0</v>
      </c>
      <c r="K50" s="323">
        <f t="shared" si="2"/>
        <v>0</v>
      </c>
      <c r="L50" s="323">
        <f t="shared" si="2"/>
        <v>0</v>
      </c>
      <c r="M50" s="323">
        <f t="shared" si="2"/>
        <v>2.3531120202057836E-4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5.3587420228347225E-3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2.3531120202057836E-4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1488.539450787423</v>
      </c>
      <c r="H54" s="22">
        <f t="shared" si="3"/>
        <v>0</v>
      </c>
      <c r="I54" s="22">
        <f t="shared" si="3"/>
        <v>0</v>
      </c>
      <c r="J54" s="22">
        <f t="shared" si="3"/>
        <v>0</v>
      </c>
      <c r="K54" s="22">
        <f t="shared" si="3"/>
        <v>0</v>
      </c>
      <c r="L54" s="22">
        <f t="shared" si="3"/>
        <v>0</v>
      </c>
      <c r="M54" s="22">
        <f t="shared" si="3"/>
        <v>65.364222783494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0.20590715870164183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397.44003336024196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13139.699947504545</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13139.699947504545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49273.285000000003</v>
      </c>
      <c r="D10" s="703">
        <f ca="1">tertiair!C16</f>
        <v>0</v>
      </c>
      <c r="E10" s="703">
        <f ca="1">tertiair!D16</f>
        <v>48656.206017504854</v>
      </c>
      <c r="F10" s="703">
        <f>tertiair!E16</f>
        <v>388.34858904955655</v>
      </c>
      <c r="G10" s="703">
        <f ca="1">tertiair!F16</f>
        <v>9305.2261004078246</v>
      </c>
      <c r="H10" s="703">
        <f>tertiair!G16</f>
        <v>0</v>
      </c>
      <c r="I10" s="703">
        <f>tertiair!H16</f>
        <v>0</v>
      </c>
      <c r="J10" s="703">
        <f>tertiair!I16</f>
        <v>0</v>
      </c>
      <c r="K10" s="703">
        <f>tertiair!J16</f>
        <v>0</v>
      </c>
      <c r="L10" s="703">
        <f>tertiair!K16</f>
        <v>0</v>
      </c>
      <c r="M10" s="703">
        <f ca="1">tertiair!L16</f>
        <v>0</v>
      </c>
      <c r="N10" s="703">
        <f>tertiair!M16</f>
        <v>0</v>
      </c>
      <c r="O10" s="703">
        <f ca="1">tertiair!N16</f>
        <v>3736.3105625097364</v>
      </c>
      <c r="P10" s="703">
        <f>tertiair!O16</f>
        <v>0</v>
      </c>
      <c r="Q10" s="704">
        <f>tertiair!P16</f>
        <v>0</v>
      </c>
      <c r="R10" s="706">
        <f ca="1">SUM(C10:Q10)</f>
        <v>111359.37626947196</v>
      </c>
      <c r="S10" s="68"/>
    </row>
    <row r="11" spans="1:19" s="458" customFormat="1">
      <c r="A11" s="859" t="s">
        <v>225</v>
      </c>
      <c r="B11" s="864"/>
      <c r="C11" s="703">
        <f>huishoudens!B8</f>
        <v>54063.492775268271</v>
      </c>
      <c r="D11" s="703">
        <f>huishoudens!C8</f>
        <v>0</v>
      </c>
      <c r="E11" s="703">
        <f>huishoudens!D8</f>
        <v>149149.90313697429</v>
      </c>
      <c r="F11" s="703">
        <f>huishoudens!E8</f>
        <v>7824.3683065387931</v>
      </c>
      <c r="G11" s="703">
        <f>huishoudens!F8</f>
        <v>11182.644450079408</v>
      </c>
      <c r="H11" s="703">
        <f>huishoudens!G8</f>
        <v>0</v>
      </c>
      <c r="I11" s="703">
        <f>huishoudens!H8</f>
        <v>0</v>
      </c>
      <c r="J11" s="703">
        <f>huishoudens!I8</f>
        <v>0</v>
      </c>
      <c r="K11" s="703">
        <f>huishoudens!J8</f>
        <v>3487.0505797768647</v>
      </c>
      <c r="L11" s="703">
        <f>huishoudens!K8</f>
        <v>0</v>
      </c>
      <c r="M11" s="703">
        <f>huishoudens!L8</f>
        <v>0</v>
      </c>
      <c r="N11" s="703">
        <f>huishoudens!M8</f>
        <v>0</v>
      </c>
      <c r="O11" s="703">
        <f>huishoudens!N8</f>
        <v>20654.091714016376</v>
      </c>
      <c r="P11" s="703">
        <f>huishoudens!O8</f>
        <v>117.25</v>
      </c>
      <c r="Q11" s="704">
        <f>huishoudens!P8</f>
        <v>286</v>
      </c>
      <c r="R11" s="706">
        <f>SUM(C11:Q11)</f>
        <v>246764.800962654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85384.163000000015</v>
      </c>
      <c r="D13" s="703">
        <f>industrie!C18</f>
        <v>0</v>
      </c>
      <c r="E13" s="703">
        <f>industrie!D18</f>
        <v>126512.21281653017</v>
      </c>
      <c r="F13" s="703">
        <f>industrie!E18</f>
        <v>655.96760234975943</v>
      </c>
      <c r="G13" s="703">
        <f>industrie!F18</f>
        <v>25020.491668900293</v>
      </c>
      <c r="H13" s="703">
        <f>industrie!G18</f>
        <v>0</v>
      </c>
      <c r="I13" s="703">
        <f>industrie!H18</f>
        <v>0</v>
      </c>
      <c r="J13" s="703">
        <f>industrie!I18</f>
        <v>0</v>
      </c>
      <c r="K13" s="703">
        <f>industrie!J18</f>
        <v>262.37237956844854</v>
      </c>
      <c r="L13" s="703">
        <f>industrie!K18</f>
        <v>0</v>
      </c>
      <c r="M13" s="703">
        <f>industrie!L18</f>
        <v>0</v>
      </c>
      <c r="N13" s="703">
        <f>industrie!M18</f>
        <v>0</v>
      </c>
      <c r="O13" s="703">
        <f>industrie!N18</f>
        <v>3038.6663732289753</v>
      </c>
      <c r="P13" s="703">
        <f>industrie!O18</f>
        <v>0</v>
      </c>
      <c r="Q13" s="704">
        <f>industrie!P18</f>
        <v>0</v>
      </c>
      <c r="R13" s="706">
        <f>SUM(C13:Q13)</f>
        <v>240873.87384057767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188720.9407752683</v>
      </c>
      <c r="D15" s="708">
        <f t="shared" ref="D15:Q15" ca="1" si="0">SUM(D9:D14)</f>
        <v>0</v>
      </c>
      <c r="E15" s="708">
        <f t="shared" ca="1" si="0"/>
        <v>324318.32197100931</v>
      </c>
      <c r="F15" s="708">
        <f t="shared" si="0"/>
        <v>8868.6844979381094</v>
      </c>
      <c r="G15" s="708">
        <f t="shared" ca="1" si="0"/>
        <v>45508.362219387527</v>
      </c>
      <c r="H15" s="708">
        <f t="shared" si="0"/>
        <v>0</v>
      </c>
      <c r="I15" s="708">
        <f t="shared" si="0"/>
        <v>0</v>
      </c>
      <c r="J15" s="708">
        <f t="shared" si="0"/>
        <v>0</v>
      </c>
      <c r="K15" s="708">
        <f t="shared" si="0"/>
        <v>3749.4229593453133</v>
      </c>
      <c r="L15" s="708">
        <f t="shared" si="0"/>
        <v>0</v>
      </c>
      <c r="M15" s="708">
        <f t="shared" ca="1" si="0"/>
        <v>0</v>
      </c>
      <c r="N15" s="708">
        <f t="shared" si="0"/>
        <v>0</v>
      </c>
      <c r="O15" s="708">
        <f t="shared" ca="1" si="0"/>
        <v>27429.068649755089</v>
      </c>
      <c r="P15" s="708">
        <f t="shared" si="0"/>
        <v>117.25</v>
      </c>
      <c r="Q15" s="709">
        <f t="shared" si="0"/>
        <v>286</v>
      </c>
      <c r="R15" s="710">
        <f ca="1">SUM(R9:R14)</f>
        <v>598998.05107270367</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1488.539450787423</v>
      </c>
      <c r="I18" s="703">
        <f>transport!H54</f>
        <v>0</v>
      </c>
      <c r="J18" s="703">
        <f>transport!I54</f>
        <v>0</v>
      </c>
      <c r="K18" s="703">
        <f>transport!J54</f>
        <v>0</v>
      </c>
      <c r="L18" s="703">
        <f>transport!K54</f>
        <v>0</v>
      </c>
      <c r="M18" s="703">
        <f>transport!L54</f>
        <v>0</v>
      </c>
      <c r="N18" s="703">
        <f>transport!M54</f>
        <v>65.364222783494</v>
      </c>
      <c r="O18" s="703">
        <f>transport!N54</f>
        <v>0</v>
      </c>
      <c r="P18" s="703">
        <f>transport!O54</f>
        <v>0</v>
      </c>
      <c r="Q18" s="704">
        <f>transport!P54</f>
        <v>0</v>
      </c>
      <c r="R18" s="706">
        <f>SUM(C18:Q18)</f>
        <v>1553.9036735709169</v>
      </c>
      <c r="S18" s="68"/>
    </row>
    <row r="19" spans="1:19" s="458" customFormat="1" ht="15" thickBot="1">
      <c r="A19" s="859" t="s">
        <v>307</v>
      </c>
      <c r="B19" s="864"/>
      <c r="C19" s="712">
        <f>transport!B14</f>
        <v>4.5645441051250728</v>
      </c>
      <c r="D19" s="712">
        <f>transport!C14</f>
        <v>0</v>
      </c>
      <c r="E19" s="712">
        <f>transport!D14</f>
        <v>13.347852353799366</v>
      </c>
      <c r="F19" s="712">
        <f>transport!E14</f>
        <v>879.4873735664429</v>
      </c>
      <c r="G19" s="712">
        <f>transport!F14</f>
        <v>0</v>
      </c>
      <c r="H19" s="712">
        <f>transport!G14</f>
        <v>195191.23492408631</v>
      </c>
      <c r="I19" s="712">
        <f>transport!H14</f>
        <v>30522.199092372237</v>
      </c>
      <c r="J19" s="712">
        <f>transport!I14</f>
        <v>0</v>
      </c>
      <c r="K19" s="712">
        <f>transport!J14</f>
        <v>0</v>
      </c>
      <c r="L19" s="712">
        <f>transport!K14</f>
        <v>0</v>
      </c>
      <c r="M19" s="712">
        <f>transport!L14</f>
        <v>0</v>
      </c>
      <c r="N19" s="712">
        <f>transport!M14</f>
        <v>10088.134165259215</v>
      </c>
      <c r="O19" s="712">
        <f>transport!N14</f>
        <v>0</v>
      </c>
      <c r="P19" s="712">
        <f>transport!O14</f>
        <v>0</v>
      </c>
      <c r="Q19" s="713">
        <f>transport!P14</f>
        <v>0</v>
      </c>
      <c r="R19" s="714">
        <f>SUM(C19:Q19)</f>
        <v>236698.96795174314</v>
      </c>
      <c r="S19" s="68"/>
    </row>
    <row r="20" spans="1:19" s="458" customFormat="1" ht="15.75" thickBot="1">
      <c r="A20" s="715" t="s">
        <v>230</v>
      </c>
      <c r="B20" s="867"/>
      <c r="C20" s="862">
        <f>SUM(C17:C19)</f>
        <v>4.5645441051250728</v>
      </c>
      <c r="D20" s="716">
        <f t="shared" ref="D20:R20" si="1">SUM(D17:D19)</f>
        <v>0</v>
      </c>
      <c r="E20" s="716">
        <f t="shared" si="1"/>
        <v>13.347852353799366</v>
      </c>
      <c r="F20" s="716">
        <f t="shared" si="1"/>
        <v>879.4873735664429</v>
      </c>
      <c r="G20" s="716">
        <f t="shared" si="1"/>
        <v>0</v>
      </c>
      <c r="H20" s="716">
        <f t="shared" si="1"/>
        <v>196679.77437487373</v>
      </c>
      <c r="I20" s="716">
        <f t="shared" si="1"/>
        <v>30522.199092372237</v>
      </c>
      <c r="J20" s="716">
        <f t="shared" si="1"/>
        <v>0</v>
      </c>
      <c r="K20" s="716">
        <f t="shared" si="1"/>
        <v>0</v>
      </c>
      <c r="L20" s="716">
        <f t="shared" si="1"/>
        <v>0</v>
      </c>
      <c r="M20" s="716">
        <f t="shared" si="1"/>
        <v>0</v>
      </c>
      <c r="N20" s="716">
        <f t="shared" si="1"/>
        <v>10153.498388042708</v>
      </c>
      <c r="O20" s="716">
        <f t="shared" si="1"/>
        <v>0</v>
      </c>
      <c r="P20" s="716">
        <f t="shared" si="1"/>
        <v>0</v>
      </c>
      <c r="Q20" s="717">
        <f t="shared" si="1"/>
        <v>0</v>
      </c>
      <c r="R20" s="718">
        <f t="shared" si="1"/>
        <v>238252.87162531406</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3675.2249999999999</v>
      </c>
      <c r="D22" s="712">
        <f>+landbouw!C8</f>
        <v>0</v>
      </c>
      <c r="E22" s="712">
        <f>+landbouw!D8</f>
        <v>4749.5205347910087</v>
      </c>
      <c r="F22" s="712">
        <f>+landbouw!E8</f>
        <v>34.623081981527022</v>
      </c>
      <c r="G22" s="712">
        <f>+landbouw!F8</f>
        <v>11993.478875059462</v>
      </c>
      <c r="H22" s="712">
        <f>+landbouw!G8</f>
        <v>0</v>
      </c>
      <c r="I22" s="712">
        <f>+landbouw!H8</f>
        <v>0</v>
      </c>
      <c r="J22" s="712">
        <f>+landbouw!I8</f>
        <v>0</v>
      </c>
      <c r="K22" s="712">
        <f>+landbouw!J8</f>
        <v>454.64320879096618</v>
      </c>
      <c r="L22" s="712">
        <f>+landbouw!K8</f>
        <v>0</v>
      </c>
      <c r="M22" s="712">
        <f>+landbouw!L8</f>
        <v>0</v>
      </c>
      <c r="N22" s="712">
        <f>+landbouw!M8</f>
        <v>0</v>
      </c>
      <c r="O22" s="712">
        <f>+landbouw!N8</f>
        <v>0</v>
      </c>
      <c r="P22" s="712">
        <f>+landbouw!O8</f>
        <v>0</v>
      </c>
      <c r="Q22" s="713">
        <f>+landbouw!P8</f>
        <v>0</v>
      </c>
      <c r="R22" s="714">
        <f>SUM(C22:Q22)</f>
        <v>20907.490700622966</v>
      </c>
      <c r="S22" s="68"/>
    </row>
    <row r="23" spans="1:19" s="458" customFormat="1" ht="17.25" thickTop="1" thickBot="1">
      <c r="A23" s="719" t="s">
        <v>116</v>
      </c>
      <c r="B23" s="853"/>
      <c r="C23" s="720">
        <f ca="1">C20+C15+C22</f>
        <v>192400.73031937343</v>
      </c>
      <c r="D23" s="720">
        <f t="shared" ref="D23:Q23" ca="1" si="2">D20+D15+D22</f>
        <v>0</v>
      </c>
      <c r="E23" s="720">
        <f t="shared" ca="1" si="2"/>
        <v>329081.19035815413</v>
      </c>
      <c r="F23" s="720">
        <f t="shared" si="2"/>
        <v>9782.7949534860782</v>
      </c>
      <c r="G23" s="720">
        <f t="shared" ca="1" si="2"/>
        <v>57501.841094446987</v>
      </c>
      <c r="H23" s="720">
        <f t="shared" si="2"/>
        <v>196679.77437487373</v>
      </c>
      <c r="I23" s="720">
        <f t="shared" si="2"/>
        <v>30522.199092372237</v>
      </c>
      <c r="J23" s="720">
        <f t="shared" si="2"/>
        <v>0</v>
      </c>
      <c r="K23" s="720">
        <f t="shared" si="2"/>
        <v>4204.0661681362799</v>
      </c>
      <c r="L23" s="720">
        <f t="shared" si="2"/>
        <v>0</v>
      </c>
      <c r="M23" s="720">
        <f t="shared" ca="1" si="2"/>
        <v>0</v>
      </c>
      <c r="N23" s="720">
        <f t="shared" si="2"/>
        <v>10153.498388042708</v>
      </c>
      <c r="O23" s="720">
        <f t="shared" ca="1" si="2"/>
        <v>27429.068649755089</v>
      </c>
      <c r="P23" s="720">
        <f t="shared" si="2"/>
        <v>117.25</v>
      </c>
      <c r="Q23" s="721">
        <f t="shared" si="2"/>
        <v>286</v>
      </c>
      <c r="R23" s="722">
        <f ca="1">R20+R15+R22</f>
        <v>858158.4133986407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10145.722114246229</v>
      </c>
      <c r="D36" s="703">
        <f ca="1">tertiair!C20</f>
        <v>0</v>
      </c>
      <c r="E36" s="703">
        <f ca="1">tertiair!D20</f>
        <v>9828.5536155359805</v>
      </c>
      <c r="F36" s="703">
        <f>tertiair!E20</f>
        <v>88.155129714249341</v>
      </c>
      <c r="G36" s="703">
        <f ca="1">tertiair!F20</f>
        <v>2484.4953688088895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22546.92622830535</v>
      </c>
    </row>
    <row r="37" spans="1:18">
      <c r="A37" s="874" t="s">
        <v>225</v>
      </c>
      <c r="B37" s="881"/>
      <c r="C37" s="703">
        <f ca="1">huishoudens!B12</f>
        <v>11132.060186842231</v>
      </c>
      <c r="D37" s="703">
        <f ca="1">huishoudens!C12</f>
        <v>0</v>
      </c>
      <c r="E37" s="703">
        <f>huishoudens!D12</f>
        <v>30128.28043366881</v>
      </c>
      <c r="F37" s="703">
        <f>huishoudens!E12</f>
        <v>1776.131605584306</v>
      </c>
      <c r="G37" s="703">
        <f>huishoudens!F12</f>
        <v>2985.7660681712018</v>
      </c>
      <c r="H37" s="703">
        <f>huishoudens!G12</f>
        <v>0</v>
      </c>
      <c r="I37" s="703">
        <f>huishoudens!H12</f>
        <v>0</v>
      </c>
      <c r="J37" s="703">
        <f>huishoudens!I12</f>
        <v>0</v>
      </c>
      <c r="K37" s="703">
        <f>huishoudens!J12</f>
        <v>1234.41590524101</v>
      </c>
      <c r="L37" s="703">
        <f>huishoudens!K12</f>
        <v>0</v>
      </c>
      <c r="M37" s="703">
        <f>huishoudens!L12</f>
        <v>0</v>
      </c>
      <c r="N37" s="703">
        <f>huishoudens!M12</f>
        <v>0</v>
      </c>
      <c r="O37" s="703">
        <f>huishoudens!N12</f>
        <v>0</v>
      </c>
      <c r="P37" s="703">
        <f>huishoudens!O12</f>
        <v>0</v>
      </c>
      <c r="Q37" s="813">
        <f>huishoudens!P12</f>
        <v>0</v>
      </c>
      <c r="R37" s="906">
        <f ca="1">SUM(C37:Q37)</f>
        <v>47256.654199507553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17581.210401447857</v>
      </c>
      <c r="D39" s="703">
        <f ca="1">industrie!C22</f>
        <v>0</v>
      </c>
      <c r="E39" s="703">
        <f>industrie!D22</f>
        <v>25555.466988939097</v>
      </c>
      <c r="F39" s="703">
        <f>industrie!E22</f>
        <v>148.9046457333954</v>
      </c>
      <c r="G39" s="703">
        <f>industrie!F22</f>
        <v>6680.4712755963783</v>
      </c>
      <c r="H39" s="703">
        <f>industrie!G22</f>
        <v>0</v>
      </c>
      <c r="I39" s="703">
        <f>industrie!H22</f>
        <v>0</v>
      </c>
      <c r="J39" s="703">
        <f>industrie!I22</f>
        <v>0</v>
      </c>
      <c r="K39" s="703">
        <f>industrie!J22</f>
        <v>92.879822367230773</v>
      </c>
      <c r="L39" s="703">
        <f>industrie!K22</f>
        <v>0</v>
      </c>
      <c r="M39" s="703">
        <f>industrie!L22</f>
        <v>0</v>
      </c>
      <c r="N39" s="703">
        <f>industrie!M22</f>
        <v>0</v>
      </c>
      <c r="O39" s="703">
        <f>industrie!N22</f>
        <v>0</v>
      </c>
      <c r="P39" s="703">
        <f>industrie!O22</f>
        <v>0</v>
      </c>
      <c r="Q39" s="813">
        <f>industrie!P22</f>
        <v>0</v>
      </c>
      <c r="R39" s="907">
        <f ca="1">SUM(C39:Q39)</f>
        <v>50058.933134083956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38858.992702536314</v>
      </c>
      <c r="D41" s="748">
        <f t="shared" ref="D41:R41" ca="1" si="4">SUM(D35:D40)</f>
        <v>0</v>
      </c>
      <c r="E41" s="748">
        <f t="shared" ca="1" si="4"/>
        <v>65512.30103814388</v>
      </c>
      <c r="F41" s="748">
        <f t="shared" si="4"/>
        <v>2013.1913810319509</v>
      </c>
      <c r="G41" s="748">
        <f t="shared" ca="1" si="4"/>
        <v>12150.73271257647</v>
      </c>
      <c r="H41" s="748">
        <f t="shared" si="4"/>
        <v>0</v>
      </c>
      <c r="I41" s="748">
        <f t="shared" si="4"/>
        <v>0</v>
      </c>
      <c r="J41" s="748">
        <f t="shared" si="4"/>
        <v>0</v>
      </c>
      <c r="K41" s="748">
        <f t="shared" si="4"/>
        <v>1327.2957276082409</v>
      </c>
      <c r="L41" s="748">
        <f t="shared" si="4"/>
        <v>0</v>
      </c>
      <c r="M41" s="748">
        <f t="shared" ca="1" si="4"/>
        <v>0</v>
      </c>
      <c r="N41" s="748">
        <f t="shared" si="4"/>
        <v>0</v>
      </c>
      <c r="O41" s="748">
        <f t="shared" ca="1" si="4"/>
        <v>0</v>
      </c>
      <c r="P41" s="748">
        <f t="shared" si="4"/>
        <v>0</v>
      </c>
      <c r="Q41" s="749">
        <f t="shared" si="4"/>
        <v>0</v>
      </c>
      <c r="R41" s="750">
        <f t="shared" ca="1" si="4"/>
        <v>119862.51356189686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397.44003336024196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397.44003336024196</v>
      </c>
    </row>
    <row r="45" spans="1:18" ht="15" thickBot="1">
      <c r="A45" s="877" t="s">
        <v>307</v>
      </c>
      <c r="B45" s="887"/>
      <c r="C45" s="712">
        <f ca="1">transport!B18</f>
        <v>0.93987230745463213</v>
      </c>
      <c r="D45" s="712">
        <f>transport!C18</f>
        <v>0</v>
      </c>
      <c r="E45" s="712">
        <f>transport!D18</f>
        <v>2.6962661754674722</v>
      </c>
      <c r="F45" s="712">
        <f>transport!E18</f>
        <v>199.64363379958255</v>
      </c>
      <c r="G45" s="712">
        <f>transport!F18</f>
        <v>0</v>
      </c>
      <c r="H45" s="712">
        <f>transport!G18</f>
        <v>52116.059724731051</v>
      </c>
      <c r="I45" s="712">
        <f>transport!H18</f>
        <v>7600.0275740006873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59919.367071014247</v>
      </c>
    </row>
    <row r="46" spans="1:18" ht="15.75" thickBot="1">
      <c r="A46" s="875" t="s">
        <v>230</v>
      </c>
      <c r="B46" s="888"/>
      <c r="C46" s="748">
        <f t="shared" ref="C46:R46" ca="1" si="5">SUM(C43:C45)</f>
        <v>0.93987230745463213</v>
      </c>
      <c r="D46" s="748">
        <f t="shared" ca="1" si="5"/>
        <v>0</v>
      </c>
      <c r="E46" s="748">
        <f t="shared" si="5"/>
        <v>2.6962661754674722</v>
      </c>
      <c r="F46" s="748">
        <f t="shared" si="5"/>
        <v>199.64363379958255</v>
      </c>
      <c r="G46" s="748">
        <f t="shared" si="5"/>
        <v>0</v>
      </c>
      <c r="H46" s="748">
        <f t="shared" si="5"/>
        <v>52513.49975809129</v>
      </c>
      <c r="I46" s="748">
        <f t="shared" si="5"/>
        <v>7600.0275740006873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60316.807104374486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756.75513733924163</v>
      </c>
      <c r="D48" s="703">
        <f ca="1">+landbouw!C12</f>
        <v>0</v>
      </c>
      <c r="E48" s="703">
        <f>+landbouw!D12</f>
        <v>959.4031480277838</v>
      </c>
      <c r="F48" s="703">
        <f>+landbouw!E12</f>
        <v>7.8594396098066346</v>
      </c>
      <c r="G48" s="703">
        <f>+landbouw!F12</f>
        <v>3202.2588596408764</v>
      </c>
      <c r="H48" s="703">
        <f>+landbouw!G12</f>
        <v>0</v>
      </c>
      <c r="I48" s="703">
        <f>+landbouw!H12</f>
        <v>0</v>
      </c>
      <c r="J48" s="703">
        <f>+landbouw!I12</f>
        <v>0</v>
      </c>
      <c r="K48" s="703">
        <f>+landbouw!J12</f>
        <v>160.94369591200203</v>
      </c>
      <c r="L48" s="703">
        <f>+landbouw!K12</f>
        <v>0</v>
      </c>
      <c r="M48" s="703">
        <f>+landbouw!L12</f>
        <v>0</v>
      </c>
      <c r="N48" s="703">
        <f>+landbouw!M12</f>
        <v>0</v>
      </c>
      <c r="O48" s="703">
        <f>+landbouw!N12</f>
        <v>0</v>
      </c>
      <c r="P48" s="703">
        <f>+landbouw!O12</f>
        <v>0</v>
      </c>
      <c r="Q48" s="704">
        <f>+landbouw!P12</f>
        <v>0</v>
      </c>
      <c r="R48" s="746">
        <f ca="1">SUM(C48:Q48)</f>
        <v>5087.2202805297102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39616.687712183011</v>
      </c>
      <c r="D53" s="758">
        <f t="shared" ref="D53:Q53" ca="1" si="6">D41+D46+D48</f>
        <v>0</v>
      </c>
      <c r="E53" s="758">
        <f t="shared" ca="1" si="6"/>
        <v>66474.400452347123</v>
      </c>
      <c r="F53" s="758">
        <f t="shared" si="6"/>
        <v>2220.69445444134</v>
      </c>
      <c r="G53" s="758">
        <f t="shared" ca="1" si="6"/>
        <v>15352.991572217346</v>
      </c>
      <c r="H53" s="758">
        <f t="shared" si="6"/>
        <v>52513.49975809129</v>
      </c>
      <c r="I53" s="758">
        <f t="shared" si="6"/>
        <v>7600.0275740006873</v>
      </c>
      <c r="J53" s="758">
        <f t="shared" si="6"/>
        <v>0</v>
      </c>
      <c r="K53" s="758">
        <f t="shared" si="6"/>
        <v>1488.239423520243</v>
      </c>
      <c r="L53" s="758">
        <f t="shared" si="6"/>
        <v>0</v>
      </c>
      <c r="M53" s="758">
        <f t="shared" ca="1" si="6"/>
        <v>0</v>
      </c>
      <c r="N53" s="758">
        <f t="shared" si="6"/>
        <v>0</v>
      </c>
      <c r="O53" s="758">
        <f t="shared" ca="1" si="6"/>
        <v>0</v>
      </c>
      <c r="P53" s="758">
        <f>P41+P46+P48</f>
        <v>0</v>
      </c>
      <c r="Q53" s="759">
        <f t="shared" si="6"/>
        <v>0</v>
      </c>
      <c r="R53" s="760">
        <f ca="1">R41+R46+R48</f>
        <v>185266.54094680105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0.20590715870164181</v>
      </c>
      <c r="D55" s="824">
        <f t="shared" ca="1" si="7"/>
        <v>0</v>
      </c>
      <c r="E55" s="824">
        <f t="shared" ca="1" si="7"/>
        <v>0.20199999999999996</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13139.699947504545</v>
      </c>
      <c r="C66" s="780">
        <f>'lokale energieproductie'!B6</f>
        <v>13139.699947504545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13139.699947504545</v>
      </c>
      <c r="C69" s="788">
        <f>SUM(C64:C68)</f>
        <v>13139.699947504545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54063.492775268271</v>
      </c>
      <c r="C4" s="462">
        <f>huishoudens!C8</f>
        <v>0</v>
      </c>
      <c r="D4" s="462">
        <f>huishoudens!D8</f>
        <v>149149.90313697429</v>
      </c>
      <c r="E4" s="462">
        <f>huishoudens!E8</f>
        <v>7824.3683065387931</v>
      </c>
      <c r="F4" s="462">
        <f>huishoudens!F8</f>
        <v>11182.644450079408</v>
      </c>
      <c r="G4" s="462">
        <f>huishoudens!G8</f>
        <v>0</v>
      </c>
      <c r="H4" s="462">
        <f>huishoudens!H8</f>
        <v>0</v>
      </c>
      <c r="I4" s="462">
        <f>huishoudens!I8</f>
        <v>0</v>
      </c>
      <c r="J4" s="462">
        <f>huishoudens!J8</f>
        <v>3487.0505797768647</v>
      </c>
      <c r="K4" s="462">
        <f>huishoudens!K8</f>
        <v>0</v>
      </c>
      <c r="L4" s="462">
        <f>huishoudens!L8</f>
        <v>0</v>
      </c>
      <c r="M4" s="462">
        <f>huishoudens!M8</f>
        <v>0</v>
      </c>
      <c r="N4" s="462">
        <f>huishoudens!N8</f>
        <v>20654.091714016376</v>
      </c>
      <c r="O4" s="462">
        <f>huishoudens!O8</f>
        <v>117.25</v>
      </c>
      <c r="P4" s="463">
        <f>huishoudens!P8</f>
        <v>286</v>
      </c>
      <c r="Q4" s="464">
        <f>SUM(B4:P4)</f>
        <v>246764.800962654</v>
      </c>
    </row>
    <row r="5" spans="1:17">
      <c r="A5" s="461" t="s">
        <v>156</v>
      </c>
      <c r="B5" s="462">
        <f ca="1">tertiair!B16</f>
        <v>46675.289000000004</v>
      </c>
      <c r="C5" s="462">
        <f ca="1">tertiair!C16</f>
        <v>0</v>
      </c>
      <c r="D5" s="462">
        <f ca="1">tertiair!D16</f>
        <v>48656.206017504854</v>
      </c>
      <c r="E5" s="462">
        <f>tertiair!E16</f>
        <v>388.34858904955655</v>
      </c>
      <c r="F5" s="462">
        <f ca="1">tertiair!F16</f>
        <v>9305.2261004078246</v>
      </c>
      <c r="G5" s="462">
        <f>tertiair!G16</f>
        <v>0</v>
      </c>
      <c r="H5" s="462">
        <f>tertiair!H16</f>
        <v>0</v>
      </c>
      <c r="I5" s="462">
        <f>tertiair!I16</f>
        <v>0</v>
      </c>
      <c r="J5" s="462">
        <f>tertiair!J16</f>
        <v>0</v>
      </c>
      <c r="K5" s="462">
        <f>tertiair!K16</f>
        <v>0</v>
      </c>
      <c r="L5" s="462">
        <f ca="1">tertiair!L16</f>
        <v>0</v>
      </c>
      <c r="M5" s="462">
        <f>tertiair!M16</f>
        <v>0</v>
      </c>
      <c r="N5" s="462">
        <f ca="1">tertiair!N16</f>
        <v>3736.3105625097364</v>
      </c>
      <c r="O5" s="462">
        <f>tertiair!O16</f>
        <v>0</v>
      </c>
      <c r="P5" s="463">
        <f>tertiair!P16</f>
        <v>0</v>
      </c>
      <c r="Q5" s="461">
        <f t="shared" ref="Q5:Q13" ca="1" si="0">SUM(B5:P5)</f>
        <v>108761.38026947198</v>
      </c>
    </row>
    <row r="6" spans="1:17">
      <c r="A6" s="461" t="s">
        <v>194</v>
      </c>
      <c r="B6" s="462">
        <f>'openbare verlichting'!B8</f>
        <v>2597.9960000000001</v>
      </c>
      <c r="C6" s="462"/>
      <c r="D6" s="462"/>
      <c r="E6" s="462"/>
      <c r="F6" s="462"/>
      <c r="G6" s="462"/>
      <c r="H6" s="462"/>
      <c r="I6" s="462"/>
      <c r="J6" s="462"/>
      <c r="K6" s="462"/>
      <c r="L6" s="462"/>
      <c r="M6" s="462"/>
      <c r="N6" s="462"/>
      <c r="O6" s="462"/>
      <c r="P6" s="463"/>
      <c r="Q6" s="461">
        <f t="shared" si="0"/>
        <v>2597.9960000000001</v>
      </c>
    </row>
    <row r="7" spans="1:17">
      <c r="A7" s="461" t="s">
        <v>112</v>
      </c>
      <c r="B7" s="462">
        <f>landbouw!B8</f>
        <v>3675.2249999999999</v>
      </c>
      <c r="C7" s="462">
        <f>landbouw!C8</f>
        <v>0</v>
      </c>
      <c r="D7" s="462">
        <f>landbouw!D8</f>
        <v>4749.5205347910087</v>
      </c>
      <c r="E7" s="462">
        <f>landbouw!E8</f>
        <v>34.623081981527022</v>
      </c>
      <c r="F7" s="462">
        <f>landbouw!F8</f>
        <v>11993.478875059462</v>
      </c>
      <c r="G7" s="462">
        <f>landbouw!G8</f>
        <v>0</v>
      </c>
      <c r="H7" s="462">
        <f>landbouw!H8</f>
        <v>0</v>
      </c>
      <c r="I7" s="462">
        <f>landbouw!I8</f>
        <v>0</v>
      </c>
      <c r="J7" s="462">
        <f>landbouw!J8</f>
        <v>454.64320879096618</v>
      </c>
      <c r="K7" s="462">
        <f>landbouw!K8</f>
        <v>0</v>
      </c>
      <c r="L7" s="462">
        <f>landbouw!L8</f>
        <v>0</v>
      </c>
      <c r="M7" s="462">
        <f>landbouw!M8</f>
        <v>0</v>
      </c>
      <c r="N7" s="462">
        <f>landbouw!N8</f>
        <v>0</v>
      </c>
      <c r="O7" s="462">
        <f>landbouw!O8</f>
        <v>0</v>
      </c>
      <c r="P7" s="463">
        <f>landbouw!P8</f>
        <v>0</v>
      </c>
      <c r="Q7" s="461">
        <f t="shared" si="0"/>
        <v>20907.490700622966</v>
      </c>
    </row>
    <row r="8" spans="1:17">
      <c r="A8" s="461" t="s">
        <v>685</v>
      </c>
      <c r="B8" s="462">
        <f>industrie!B18</f>
        <v>85384.163000000015</v>
      </c>
      <c r="C8" s="462">
        <f>industrie!C18</f>
        <v>0</v>
      </c>
      <c r="D8" s="462">
        <f>industrie!D18</f>
        <v>126512.21281653017</v>
      </c>
      <c r="E8" s="462">
        <f>industrie!E18</f>
        <v>655.96760234975943</v>
      </c>
      <c r="F8" s="462">
        <f>industrie!F18</f>
        <v>25020.491668900293</v>
      </c>
      <c r="G8" s="462">
        <f>industrie!G18</f>
        <v>0</v>
      </c>
      <c r="H8" s="462">
        <f>industrie!H18</f>
        <v>0</v>
      </c>
      <c r="I8" s="462">
        <f>industrie!I18</f>
        <v>0</v>
      </c>
      <c r="J8" s="462">
        <f>industrie!J18</f>
        <v>262.37237956844854</v>
      </c>
      <c r="K8" s="462">
        <f>industrie!K18</f>
        <v>0</v>
      </c>
      <c r="L8" s="462">
        <f>industrie!L18</f>
        <v>0</v>
      </c>
      <c r="M8" s="462">
        <f>industrie!M18</f>
        <v>0</v>
      </c>
      <c r="N8" s="462">
        <f>industrie!N18</f>
        <v>3038.6663732289753</v>
      </c>
      <c r="O8" s="462">
        <f>industrie!O18</f>
        <v>0</v>
      </c>
      <c r="P8" s="463">
        <f>industrie!P18</f>
        <v>0</v>
      </c>
      <c r="Q8" s="461">
        <f t="shared" si="0"/>
        <v>240873.87384057767</v>
      </c>
    </row>
    <row r="9" spans="1:17" s="467" customFormat="1">
      <c r="A9" s="465" t="s">
        <v>579</v>
      </c>
      <c r="B9" s="466">
        <f>transport!B14</f>
        <v>4.5645441051250728</v>
      </c>
      <c r="C9" s="466"/>
      <c r="D9" s="466">
        <f>transport!D14</f>
        <v>13.347852353799366</v>
      </c>
      <c r="E9" s="466">
        <f>transport!E14</f>
        <v>879.4873735664429</v>
      </c>
      <c r="F9" s="466"/>
      <c r="G9" s="466">
        <f>transport!G14</f>
        <v>195191.23492408631</v>
      </c>
      <c r="H9" s="466">
        <f>transport!H14</f>
        <v>30522.199092372237</v>
      </c>
      <c r="I9" s="466"/>
      <c r="J9" s="466"/>
      <c r="K9" s="466"/>
      <c r="L9" s="466"/>
      <c r="M9" s="466">
        <f>transport!M14</f>
        <v>10088.134165259215</v>
      </c>
      <c r="N9" s="466"/>
      <c r="O9" s="466"/>
      <c r="P9" s="466"/>
      <c r="Q9" s="465">
        <f>SUM(B9:P9)</f>
        <v>236698.96795174314</v>
      </c>
    </row>
    <row r="10" spans="1:17">
      <c r="A10" s="461" t="s">
        <v>569</v>
      </c>
      <c r="B10" s="462">
        <f>transport!B54</f>
        <v>0</v>
      </c>
      <c r="C10" s="462"/>
      <c r="D10" s="462">
        <f>transport!D54</f>
        <v>0</v>
      </c>
      <c r="E10" s="462"/>
      <c r="F10" s="462"/>
      <c r="G10" s="462">
        <f>transport!G54</f>
        <v>1488.539450787423</v>
      </c>
      <c r="H10" s="462"/>
      <c r="I10" s="462"/>
      <c r="J10" s="462"/>
      <c r="K10" s="462"/>
      <c r="L10" s="462"/>
      <c r="M10" s="462">
        <f>transport!M54</f>
        <v>65.364222783494</v>
      </c>
      <c r="N10" s="462"/>
      <c r="O10" s="462"/>
      <c r="P10" s="463"/>
      <c r="Q10" s="461">
        <f t="shared" si="0"/>
        <v>1553.9036735709169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192400.7303193734</v>
      </c>
      <c r="C14" s="472">
        <f t="shared" ref="C14:Q14" ca="1" si="1">SUM(C4:C13)</f>
        <v>0</v>
      </c>
      <c r="D14" s="472">
        <f t="shared" ca="1" si="1"/>
        <v>329081.19035815413</v>
      </c>
      <c r="E14" s="472">
        <f t="shared" si="1"/>
        <v>9782.7949534860782</v>
      </c>
      <c r="F14" s="472">
        <f t="shared" ca="1" si="1"/>
        <v>57501.841094446987</v>
      </c>
      <c r="G14" s="472">
        <f t="shared" si="1"/>
        <v>196679.77437487373</v>
      </c>
      <c r="H14" s="472">
        <f t="shared" si="1"/>
        <v>30522.199092372237</v>
      </c>
      <c r="I14" s="472">
        <f t="shared" si="1"/>
        <v>0</v>
      </c>
      <c r="J14" s="472">
        <f t="shared" si="1"/>
        <v>4204.066168136279</v>
      </c>
      <c r="K14" s="472">
        <f t="shared" si="1"/>
        <v>0</v>
      </c>
      <c r="L14" s="472">
        <f t="shared" ca="1" si="1"/>
        <v>0</v>
      </c>
      <c r="M14" s="472">
        <f t="shared" si="1"/>
        <v>10153.498388042708</v>
      </c>
      <c r="N14" s="472">
        <f t="shared" ca="1" si="1"/>
        <v>27429.068649755089</v>
      </c>
      <c r="O14" s="472">
        <f t="shared" si="1"/>
        <v>117.25</v>
      </c>
      <c r="P14" s="473">
        <f t="shared" si="1"/>
        <v>286</v>
      </c>
      <c r="Q14" s="473">
        <f t="shared" ca="1" si="1"/>
        <v>858158.4133986407</v>
      </c>
    </row>
    <row r="16" spans="1:17">
      <c r="A16" s="475" t="s">
        <v>574</v>
      </c>
      <c r="B16" s="829">
        <f ca="1">huishoudens!B10</f>
        <v>0.20590715870164183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11132.060186842231</v>
      </c>
      <c r="C21" s="462">
        <f t="shared" ref="C21:C28" ca="1" si="3">C4*$C$16</f>
        <v>0</v>
      </c>
      <c r="D21" s="462">
        <f t="shared" ref="D21:D30" si="4">D4*$D$16</f>
        <v>30128.28043366881</v>
      </c>
      <c r="E21" s="462">
        <f t="shared" ref="E21:E30" si="5">E4*$E$16</f>
        <v>1776.131605584306</v>
      </c>
      <c r="F21" s="462">
        <f t="shared" ref="F21:F28" si="6">F4*$F$16</f>
        <v>2985.7660681712018</v>
      </c>
      <c r="G21" s="462">
        <f t="shared" ref="G21:G30" si="7">G4*$G$16</f>
        <v>0</v>
      </c>
      <c r="H21" s="462">
        <f t="shared" ref="H21:H30" si="8">H4*$H$16</f>
        <v>0</v>
      </c>
      <c r="I21" s="462">
        <f t="shared" ref="I21:I28" si="9">I4*$I$16</f>
        <v>0</v>
      </c>
      <c r="J21" s="462">
        <f t="shared" ref="J21:J28" si="10">J4*$J$16</f>
        <v>1234.41590524101</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47256.654199507553</v>
      </c>
    </row>
    <row r="22" spans="1:17">
      <c r="A22" s="461" t="s">
        <v>156</v>
      </c>
      <c r="B22" s="462">
        <f t="shared" ca="1" si="2"/>
        <v>9610.7761395679991</v>
      </c>
      <c r="C22" s="462">
        <f t="shared" ca="1" si="3"/>
        <v>0</v>
      </c>
      <c r="D22" s="462">
        <f t="shared" ca="1" si="4"/>
        <v>9828.5536155359805</v>
      </c>
      <c r="E22" s="462">
        <f t="shared" si="5"/>
        <v>88.155129714249341</v>
      </c>
      <c r="F22" s="462">
        <f t="shared" ca="1" si="6"/>
        <v>2484.4953688088895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22011.98025362712</v>
      </c>
    </row>
    <row r="23" spans="1:17">
      <c r="A23" s="461" t="s">
        <v>194</v>
      </c>
      <c r="B23" s="462">
        <f t="shared" ca="1" si="2"/>
        <v>534.94597467823075</v>
      </c>
      <c r="C23" s="462"/>
      <c r="D23" s="462"/>
      <c r="E23" s="462"/>
      <c r="F23" s="462"/>
      <c r="G23" s="462"/>
      <c r="H23" s="462"/>
      <c r="I23" s="462"/>
      <c r="J23" s="462"/>
      <c r="K23" s="462"/>
      <c r="L23" s="462"/>
      <c r="M23" s="462"/>
      <c r="N23" s="462"/>
      <c r="O23" s="462"/>
      <c r="P23" s="463"/>
      <c r="Q23" s="461">
        <f t="shared" ca="1" si="17"/>
        <v>534.94597467823075</v>
      </c>
    </row>
    <row r="24" spans="1:17">
      <c r="A24" s="461" t="s">
        <v>112</v>
      </c>
      <c r="B24" s="462">
        <f t="shared" ca="1" si="2"/>
        <v>756.75513733924163</v>
      </c>
      <c r="C24" s="462">
        <f t="shared" ca="1" si="3"/>
        <v>0</v>
      </c>
      <c r="D24" s="462">
        <f t="shared" si="4"/>
        <v>959.4031480277838</v>
      </c>
      <c r="E24" s="462">
        <f t="shared" si="5"/>
        <v>7.8594396098066346</v>
      </c>
      <c r="F24" s="462">
        <f t="shared" si="6"/>
        <v>3202.2588596408764</v>
      </c>
      <c r="G24" s="462">
        <f t="shared" si="7"/>
        <v>0</v>
      </c>
      <c r="H24" s="462">
        <f t="shared" si="8"/>
        <v>0</v>
      </c>
      <c r="I24" s="462">
        <f t="shared" si="9"/>
        <v>0</v>
      </c>
      <c r="J24" s="462">
        <f t="shared" si="10"/>
        <v>160.94369591200203</v>
      </c>
      <c r="K24" s="462">
        <f t="shared" si="11"/>
        <v>0</v>
      </c>
      <c r="L24" s="462">
        <f t="shared" si="12"/>
        <v>0</v>
      </c>
      <c r="M24" s="462">
        <f t="shared" si="13"/>
        <v>0</v>
      </c>
      <c r="N24" s="462">
        <f t="shared" si="14"/>
        <v>0</v>
      </c>
      <c r="O24" s="462">
        <f t="shared" si="15"/>
        <v>0</v>
      </c>
      <c r="P24" s="463">
        <f t="shared" si="16"/>
        <v>0</v>
      </c>
      <c r="Q24" s="461">
        <f t="shared" ca="1" si="17"/>
        <v>5087.2202805297102</v>
      </c>
    </row>
    <row r="25" spans="1:17">
      <c r="A25" s="461" t="s">
        <v>685</v>
      </c>
      <c r="B25" s="462">
        <f t="shared" ca="1" si="2"/>
        <v>17581.210401447857</v>
      </c>
      <c r="C25" s="462">
        <f t="shared" ca="1" si="3"/>
        <v>0</v>
      </c>
      <c r="D25" s="462">
        <f t="shared" si="4"/>
        <v>25555.466988939097</v>
      </c>
      <c r="E25" s="462">
        <f t="shared" si="5"/>
        <v>148.9046457333954</v>
      </c>
      <c r="F25" s="462">
        <f t="shared" si="6"/>
        <v>6680.4712755963783</v>
      </c>
      <c r="G25" s="462">
        <f t="shared" si="7"/>
        <v>0</v>
      </c>
      <c r="H25" s="462">
        <f t="shared" si="8"/>
        <v>0</v>
      </c>
      <c r="I25" s="462">
        <f t="shared" si="9"/>
        <v>0</v>
      </c>
      <c r="J25" s="462">
        <f t="shared" si="10"/>
        <v>92.879822367230773</v>
      </c>
      <c r="K25" s="462">
        <f t="shared" si="11"/>
        <v>0</v>
      </c>
      <c r="L25" s="462">
        <f t="shared" si="12"/>
        <v>0</v>
      </c>
      <c r="M25" s="462">
        <f t="shared" si="13"/>
        <v>0</v>
      </c>
      <c r="N25" s="462">
        <f t="shared" si="14"/>
        <v>0</v>
      </c>
      <c r="O25" s="462">
        <f t="shared" si="15"/>
        <v>0</v>
      </c>
      <c r="P25" s="463">
        <f t="shared" si="16"/>
        <v>0</v>
      </c>
      <c r="Q25" s="461">
        <f t="shared" ca="1" si="17"/>
        <v>50058.933134083956</v>
      </c>
    </row>
    <row r="26" spans="1:17" s="467" customFormat="1">
      <c r="A26" s="465" t="s">
        <v>579</v>
      </c>
      <c r="B26" s="823">
        <f t="shared" ca="1" si="2"/>
        <v>0.93987230745463213</v>
      </c>
      <c r="C26" s="466"/>
      <c r="D26" s="466">
        <f t="shared" si="4"/>
        <v>2.6962661754674722</v>
      </c>
      <c r="E26" s="466">
        <f t="shared" si="5"/>
        <v>199.64363379958255</v>
      </c>
      <c r="F26" s="466"/>
      <c r="G26" s="466">
        <f t="shared" si="7"/>
        <v>52116.059724731051</v>
      </c>
      <c r="H26" s="466">
        <f t="shared" si="8"/>
        <v>7600.0275740006873</v>
      </c>
      <c r="I26" s="466"/>
      <c r="J26" s="466"/>
      <c r="K26" s="466"/>
      <c r="L26" s="466"/>
      <c r="M26" s="466">
        <f t="shared" si="13"/>
        <v>0</v>
      </c>
      <c r="N26" s="466"/>
      <c r="O26" s="466"/>
      <c r="P26" s="477"/>
      <c r="Q26" s="465">
        <f t="shared" ca="1" si="17"/>
        <v>59919.367071014247</v>
      </c>
    </row>
    <row r="27" spans="1:17">
      <c r="A27" s="461" t="s">
        <v>569</v>
      </c>
      <c r="B27" s="462">
        <f t="shared" ca="1" si="2"/>
        <v>0</v>
      </c>
      <c r="C27" s="462"/>
      <c r="D27" s="466">
        <f t="shared" si="4"/>
        <v>0</v>
      </c>
      <c r="E27" s="462"/>
      <c r="F27" s="462"/>
      <c r="G27" s="462">
        <f t="shared" si="7"/>
        <v>397.44003336024196</v>
      </c>
      <c r="H27" s="462"/>
      <c r="I27" s="462"/>
      <c r="J27" s="462"/>
      <c r="K27" s="462"/>
      <c r="L27" s="462"/>
      <c r="M27" s="462">
        <f t="shared" si="13"/>
        <v>0</v>
      </c>
      <c r="N27" s="462"/>
      <c r="O27" s="462"/>
      <c r="P27" s="463"/>
      <c r="Q27" s="461">
        <f t="shared" ca="1" si="17"/>
        <v>397.44003336024196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39616.687712183018</v>
      </c>
      <c r="C31" s="472">
        <f t="shared" ca="1" si="18"/>
        <v>0</v>
      </c>
      <c r="D31" s="472">
        <f t="shared" ca="1" si="18"/>
        <v>66474.400452347138</v>
      </c>
      <c r="E31" s="472">
        <f t="shared" si="18"/>
        <v>2220.69445444134</v>
      </c>
      <c r="F31" s="472">
        <f t="shared" ca="1" si="18"/>
        <v>15352.991572217346</v>
      </c>
      <c r="G31" s="472">
        <f t="shared" si="18"/>
        <v>52513.49975809129</v>
      </c>
      <c r="H31" s="472">
        <f t="shared" si="18"/>
        <v>7600.0275740006873</v>
      </c>
      <c r="I31" s="472">
        <f t="shared" si="18"/>
        <v>0</v>
      </c>
      <c r="J31" s="472">
        <f t="shared" si="18"/>
        <v>1488.239423520243</v>
      </c>
      <c r="K31" s="472">
        <f t="shared" si="18"/>
        <v>0</v>
      </c>
      <c r="L31" s="472">
        <f t="shared" ca="1" si="18"/>
        <v>0</v>
      </c>
      <c r="M31" s="472">
        <f t="shared" si="18"/>
        <v>0</v>
      </c>
      <c r="N31" s="472">
        <f t="shared" ca="1" si="18"/>
        <v>0</v>
      </c>
      <c r="O31" s="472">
        <f t="shared" si="18"/>
        <v>0</v>
      </c>
      <c r="P31" s="473">
        <f t="shared" si="18"/>
        <v>0</v>
      </c>
      <c r="Q31" s="473">
        <f t="shared" ca="1" si="18"/>
        <v>185266.54094680105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0.20590715870164183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0.20590715870164183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0.20590715870164183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2018-12-05T16:06:44Z</dcterms:modified>
</cp:coreProperties>
</file>