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E17"/>
  <c r="D17"/>
  <c r="C17"/>
  <c r="B17"/>
  <c r="B79" i="14" s="1"/>
  <c r="B16" i="18"/>
  <c r="B78" i="14" s="1"/>
  <c r="K11" i="18"/>
  <c r="J11"/>
  <c r="I11"/>
  <c r="H11"/>
  <c r="G11"/>
  <c r="F11"/>
  <c r="E11"/>
  <c r="D11"/>
  <c r="C11"/>
  <c r="L8"/>
  <c r="L9" s="1"/>
  <c r="K8"/>
  <c r="K9" s="1"/>
  <c r="J8"/>
  <c r="H8"/>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79" i="14"/>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6" i="16" l="1"/>
  <c r="D8" i="17"/>
  <c r="D7" i="48" s="1"/>
  <c r="D2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C68" i="14" l="1"/>
  <c r="G101" i="18"/>
  <c r="F81" i="14"/>
  <c r="C101" i="18"/>
  <c r="Q13" i="14"/>
  <c r="L28" i="48"/>
  <c r="D13" i="14"/>
  <c r="K22"/>
  <c r="P22" i="16"/>
  <c r="Q39" i="14" s="1"/>
  <c r="H19" i="18"/>
  <c r="J7" i="48"/>
  <c r="J24" s="1"/>
  <c r="B101" i="18"/>
  <c r="C16" s="1"/>
  <c r="D101"/>
  <c r="L5" i="17"/>
  <c r="L8" s="1"/>
  <c r="E19" i="18"/>
  <c r="F101"/>
  <c r="I16"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G30" s="1"/>
  <c r="H17" i="14"/>
  <c r="M5" i="22"/>
  <c r="M14" s="1"/>
  <c r="G5"/>
  <c r="H5"/>
  <c r="H14" s="1"/>
  <c r="I14" i="48"/>
  <c r="E5" i="15"/>
  <c r="O20"/>
  <c r="P36" i="14" s="1"/>
  <c r="P10"/>
  <c r="P20" i="15"/>
  <c r="Q36" i="14"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B48" i="13"/>
  <c r="C48" s="1"/>
  <c r="N5" s="1"/>
  <c r="N8" s="1"/>
  <c r="N4" i="48" s="1"/>
  <c r="N21" s="1"/>
  <c r="M30"/>
  <c r="M25"/>
  <c r="M24"/>
  <c r="I31"/>
  <c r="C50" i="13"/>
  <c r="J5" s="1"/>
  <c r="J8" s="1"/>
  <c r="E7" i="48"/>
  <c r="E24" s="1"/>
  <c r="E12" i="17"/>
  <c r="F48" i="14" s="1"/>
  <c r="C5" i="48"/>
  <c r="C14" s="1"/>
  <c r="D18" i="22" l="1"/>
  <c r="E45" i="14" s="1"/>
  <c r="E46" s="1"/>
  <c r="E13"/>
  <c r="J16" i="18"/>
  <c r="J19" s="1"/>
  <c r="Q41" i="14"/>
  <c r="Q53" s="1"/>
  <c r="Q55" s="1"/>
  <c r="J7" i="18"/>
  <c r="M7" s="1"/>
  <c r="M9"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O22"/>
  <c r="R22" s="1"/>
  <c r="O8" i="48"/>
  <c r="O25" s="1"/>
  <c r="P13" i="14"/>
  <c r="P15" s="1"/>
  <c r="P23" s="1"/>
  <c r="K67"/>
  <c r="K69"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M16" i="18" l="1"/>
  <c r="M19" s="1"/>
  <c r="O31" i="48"/>
  <c r="P55" i="14"/>
  <c r="E15"/>
  <c r="E23" s="1"/>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N22" i="16"/>
  <c r="O39" i="14" s="1"/>
  <c r="O41" s="1"/>
  <c r="Q4" i="48"/>
  <c r="N22"/>
  <c r="R11" i="14"/>
  <c r="J21" i="48"/>
  <c r="J14"/>
  <c r="R10" i="14"/>
  <c r="C10" i="17" l="1"/>
  <c r="C12" s="1"/>
  <c r="D48" i="14" s="1"/>
  <c r="C56" i="22"/>
  <c r="C58" s="1"/>
  <c r="D44" i="14" s="1"/>
  <c r="D46" s="1"/>
  <c r="C18" i="15"/>
  <c r="C20" s="1"/>
  <c r="D36" i="14" s="1"/>
  <c r="C16" i="22"/>
  <c r="C17" i="49"/>
  <c r="C29" i="20"/>
  <c r="C20" i="16"/>
  <c r="C22" s="1"/>
  <c r="D39" i="14" s="1"/>
  <c r="C17" i="19"/>
  <c r="C19" s="1"/>
  <c r="D35" i="14" s="1"/>
  <c r="C10" i="13"/>
  <c r="C16" i="48" s="1"/>
  <c r="C25" s="1"/>
  <c r="F22" i="16"/>
  <c r="G39" i="14" s="1"/>
  <c r="G41" s="1"/>
  <c r="G53" s="1"/>
  <c r="G55" s="1"/>
  <c r="O69" s="1"/>
  <c r="B9" i="6" s="1"/>
  <c r="B12" s="1"/>
  <c r="F8" i="48"/>
  <c r="F25" s="1"/>
  <c r="F31" s="1"/>
  <c r="Q9"/>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R13" i="14"/>
  <c r="R15" s="1"/>
  <c r="F14" i="48"/>
  <c r="C22" l="1"/>
  <c r="C31" s="1"/>
  <c r="C21"/>
  <c r="Q8"/>
  <c r="Q14" s="1"/>
  <c r="C28"/>
  <c r="F55" i="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<sst xmlns="http://schemas.openxmlformats.org/spreadsheetml/2006/main" count="2214" uniqueCount="920">
  <si>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</si>
  <si>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</si>
  <si>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</si>
  <si>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</si>
  <si>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</si>
  <si>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</si>
  <si>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</si>
  <si>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</si>
  <si>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</si>
  <si>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</si>
  <si>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</si>
  <si>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</si>
  <si>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</si>
  <si>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</si>
  <si>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</si>
  <si>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</si>
  <si>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</si>
  <si>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</si>
  <si>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</si>
  <si>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</si>
  <si>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</si>
  <si>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</si>
  <si>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</si>
  <si>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</si>
  <si>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</si>
  <si>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</si>
  <si>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</si>
  <si>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</si>
  <si>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</si>
  <si>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</si>
  <si>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</si>
  <si>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</si>
  <si>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</si>
  <si>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</si>
  <si>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</si>
  <si>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</si>
  <si>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</si>
  <si>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</si>
  <si>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</si>
  <si>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</si>
  <si>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</si>
  <si>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</si>
  <si>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</si>
  <si>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</si>
  <si>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</si>
  <si>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</si>
  <si>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</si>
  <si>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</si>
  <si>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</si>
  <si>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</si>
  <si>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</si>
  <si>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</si>
  <si>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</si>
  <si>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</si>
  <si>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</si>
  <si>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</si>
  <si>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</si>
  <si>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</si>
  <si>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</si>
  <si>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</si>
  <si>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</si>
  <si>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</si>
  <si>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</si>
  <si>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</si>
  <si>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</si>
  <si>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</si>
  <si>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</si>
  <si>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</si>
  <si>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</si>
  <si>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</si>
  <si>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</si>
  <si>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</si>
  <si>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</si>
  <si>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</si>
  <si>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</si>
  <si>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</si>
  <si>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</si>
  <si>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</si>
  <si>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</si>
  <si>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</si>
  <si>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</si>
  <si>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</si>
  <si>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</si>
  <si>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</si>
  <si>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</si>
  <si>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</si>
  <si>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</si>
  <si>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</si>
  <si>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</si>
  <si>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</si>
  <si>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</si>
  <si>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</si>
  <si>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</si>
  <si>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</si>
  <si>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</si>
  <si>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</si>
  <si>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</si>
  <si>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</si>
  <si>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</si>
  <si>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</si>
  <si>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</si>
  <si>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</si>
  <si>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</si>
  <si>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</si>
  <si>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</si>
  <si>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</si>
  <si>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</si>
  <si>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</si>
  <si>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</si>
  <si>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</si>
  <si>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</si>
  <si>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</si>
  <si>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</si>
  <si>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</si>
  <si>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</si>
  <si>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</si>
  <si>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</si>
  <si>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</si>
  <si>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</si>
  <si>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</si>
  <si>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</si>
  <si>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</si>
  <si>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</si>
  <si>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</si>
  <si>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</si>
  <si>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</si>
  <si>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</si>
  <si>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</si>
  <si>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</si>
  <si>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</si>
  <si>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</si>
  <si>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</si>
  <si>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</si>
  <si>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</si>
  <si>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</si>
  <si>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</si>
  <si>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</si>
  <si>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</si>
  <si>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</si>
  <si>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</si>
  <si>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</si>
  <si>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</si>
  <si>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</si>
  <si>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</si>
  <si>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</si>
  <si>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</si>
  <si>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</si>
  <si>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</si>
  <si>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</si>
  <si>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</si>
  <si>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</si>
  <si>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</si>
  <si>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</si>
  <si>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</si>
  <si>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</si>
  <si>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</si>
  <si>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</si>
  <si>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</si>
  <si>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</si>
  <si>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</si>
  <si>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</si>
  <si>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</si>
  <si>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</si>
  <si>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</si>
  <si>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</si>
  <si>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</si>
  <si>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</si>
  <si>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</si>
  <si>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</si>
  <si>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</si>
  <si>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</si>
  <si>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</si>
  <si>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</si>
  <si>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</si>
  <si>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</si>
  <si>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</si>
  <si>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</si>
  <si>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</si>
  <si>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</si>
  <si>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</si>
  <si>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</si>
  <si>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</si>
  <si>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</si>
  <si>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</si>
  <si>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</si>
  <si>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</si>
  <si>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</si>
  <si>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</si>
  <si>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</si>
  <si>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</si>
  <si>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</si>
  <si>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</si>
  <si>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</si>
  <si>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</si>
  <si>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</si>
  <si>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</si>
  <si>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</si>
  <si>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</si>
  <si>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</si>
  <si>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</si>
  <si>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</si>
  <si>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</si>
  <si>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</si>
  <si>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</si>
  <si>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</si>
  <si>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</si>
  <si>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</si>
  <si>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</si>
  <si>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</si>
  <si>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</si>
  <si>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</si>
  <si>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</si>
  <si>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</si>
  <si>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</si>
  <si>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</si>
  <si>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</si>
  <si>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</si>
  <si>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</si>
  <si>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</si>
  <si>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</si>
  <si>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</si>
  <si>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</si>
  <si>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</si>
  <si>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</si>
  <si>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</si>
  <si>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</si>
  <si>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</si>
  <si>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</si>
  <si>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</si>
  <si>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</si>
  <si>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</si>
  <si>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</si>
  <si>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</si>
  <si>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</si>
  <si>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</si>
  <si>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</si>
  <si>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</si>
  <si>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</si>
  <si>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</si>
  <si>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</si>
  <si>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</si>
  <si>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</si>
  <si>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</si>
  <si>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</si>
  <si>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</si>
  <si>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</si>
  <si>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</si>
  <si>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</si>
  <si>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</si>
  <si>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</si>
  <si>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</si>
  <si>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</si>
  <si>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</si>
  <si>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</si>
  <si>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</si>
  <si>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</si>
  <si>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</si>
  <si>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</si>
  <si>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</si>
  <si>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</si>
  <si>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</si>
  <si>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</si>
  <si>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</si>
  <si>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</si>
  <si>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</si>
  <si>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</si>
  <si>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</si>
  <si>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</si>
  <si>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</si>
  <si>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</si>
  <si>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</si>
  <si>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</si>
  <si>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</si>
  <si>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</si>
  <si>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</si>
  <si>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</si>
  <si>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</si>
  <si>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</si>
  <si>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</si>
  <si>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</si>
  <si>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</si>
  <si>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</si>
  <si>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</si>
  <si>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</si>
  <si>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</si>
  <si>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</si>
  <si>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</si>
  <si>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</si>
  <si>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</si>
  <si>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</si>
  <si>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</si>
  <si>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</si>
  <si>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</si>
  <si>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</si>
  <si>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</si>
  <si>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</si>
  <si>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</si>
  <si>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</si>
  <si>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</si>
  <si>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</si>
  <si>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</si>
  <si>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</si>
  <si>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</si>
  <si>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</si>
  <si>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</si>
  <si>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</si>
  <si>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</si>
  <si>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</si>
  <si>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</si>
  <si>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</si>
  <si>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</si>
  <si>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</si>
  <si>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</si>
  <si>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</si>
  <si>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</si>
  <si>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</si>
  <si>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</si>
  <si>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</si>
  <si>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</si>
  <si>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</si>
  <si>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</si>
  <si>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</si>
  <si>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</si>
  <si>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</si>
  <si>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</si>
  <si>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</si>
  <si>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</si>
  <si>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</si>
  <si>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</si>
  <si>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</si>
  <si>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</si>
  <si>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</si>
  <si>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</si>
  <si>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</si>
  <si>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</si>
  <si>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</si>
  <si>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</si>
  <si>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</si>
  <si>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</si>
  <si>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</si>
  <si>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</si>
  <si>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</si>
  <si>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</si>
  <si>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</si>
  <si>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</si>
  <si>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</si>
  <si>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</si>
  <si>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</si>
  <si>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</si>
  <si>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</si>
  <si>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</si>
  <si>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</si>
  <si>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</si>
  <si>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</si>
  <si>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</si>
  <si>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</si>
  <si>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</si>
  <si>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</si>
  <si>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</si>
  <si>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</si>
  <si>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</si>
  <si>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</si>
  <si>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</si>
  <si>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</si>
  <si>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</si>
  <si>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</si>
  <si>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</si>
  <si>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</si>
  <si>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</si>
  <si>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</si>
  <si>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</si>
  <si>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</si>
  <si>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</si>
  <si>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</si>
  <si>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</si>
  <si>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</si>
  <si>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</si>
  <si>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</si>
  <si>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</si>
  <si>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</si>
  <si>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</si>
  <si>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</si>
  <si>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</si>
  <si>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</si>
  <si>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</si>
  <si>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</si>
  <si>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</si>
  <si>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</si>
  <si>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</si>
  <si>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</si>
  <si>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</si>
  <si>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</si>
  <si>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</si>
  <si>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</si>
  <si>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</si>
  <si>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</si>
  <si>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</si>
  <si>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</si>
  <si>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</si>
  <si>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</si>
  <si>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</si>
  <si>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</si>
  <si>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</si>
  <si>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</si>
  <si>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</si>
  <si>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</si>
  <si>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</si>
  <si>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</si>
  <si>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</si>
  <si>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</si>
  <si>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</si>
  <si>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</si>
  <si>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</si>
  <si>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</si>
  <si>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</si>
  <si>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</si>
  <si>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</si>
  <si>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</si>
  <si>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</si>
  <si>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</si>
  <si>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</si>
  <si>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</si>
  <si>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</si>
  <si>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</si>
  <si>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</si>
  <si>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</si>
  <si>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</si>
  <si>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</si>
  <si>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</si>
  <si>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</si>
  <si>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</si>
  <si>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</si>
  <si>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</si>
  <si>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</si>
  <si>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</si>
  <si>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</si>
  <si>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</si>
  <si>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</si>
  <si>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</si>
  <si>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</si>
  <si>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</si>
  <si>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</si>
  <si>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</si>
  <si>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</si>
  <si>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</si>
  <si>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</si>
  <si>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</si>
  <si>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</si>
  <si>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</si>
  <si>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</si>
  <si>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</si>
  <si>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</si>
  <si>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</si>
  <si>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</si>
  <si>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</si>
  <si>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</si>
  <si>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</si>
  <si>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</si>
  <si>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</si>
  <si>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</si>
  <si>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</si>
  <si>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</si>
  <si>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</si>
  <si>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</si>
  <si>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</si>
  <si>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</si>
  <si>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</si>
  <si>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</si>
  <si>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</si>
  <si>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</si>
  <si>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</si>
  <si>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</si>
  <si>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</si>
  <si>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</si>
  <si>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</si>
  <si>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</si>
  <si>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</si>
  <si>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</si>
  <si>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</si>
  <si>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</si>
  <si>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</si>
  <si>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</si>
  <si>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</si>
  <si>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</si>
  <si>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</si>
  <si>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</si>
  <si>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</si>
  <si>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</si>
  <si>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</si>
  <si>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</si>
  <si>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</si>
  <si>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</si>
  <si>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</si>
  <si>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</si>
  <si>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</si>
  <si>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</si>
  <si>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</si>
  <si>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</si>
  <si>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</si>
  <si>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</si>
  <si>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</si>
  <si>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</si>
  <si>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</si>
  <si>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</si>
  <si>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</si>
  <si>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</si>
  <si>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</si>
  <si>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</si>
  <si>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</si>
  <si>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</si>
  <si>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</si>
  <si>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</si>
  <si>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</si>
  <si>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</si>
  <si>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</si>
  <si>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</si>
  <si>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</si>
  <si>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</si>
  <si>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</si>
  <si>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</si>
  <si>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</si>
  <si>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</si>
  <si>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</si>
  <si>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</si>
  <si>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</si>
  <si>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</si>
  <si>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</si>
  <si>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</si>
  <si>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</si>
  <si>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</si>
  <si>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</si>
  <si>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</si>
  <si>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</si>
  <si>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</si>
  <si>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</si>
  <si>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</si>
  <si>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</si>
  <si>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</si>
  <si>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</si>
  <si>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</si>
  <si>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</si>
  <si>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</si>
  <si>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</si>
  <si>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</si>
  <si>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</si>
  <si>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</si>
  <si>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</si>
  <si>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</si>
  <si>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</si>
  <si>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</si>
  <si>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</si>
  <si>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</si>
  <si>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</si>
  <si>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</si>
  <si>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</si>
  <si>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</si>
  <si>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</si>
  <si>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</si>
  <si>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</si>
  <si>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</si>
  <si>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</si>
  <si>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</si>
  <si>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</si>
  <si>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</si>
  <si>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</si>
  <si>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</si>
  <si>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</si>
  <si>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</si>
  <si>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</si>
  <si>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</si>
  <si>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</si>
  <si>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</si>
  <si>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</si>
  <si>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</si>
  <si>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</si>
  <si>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</si>
  <si>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</si>
  <si>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</si>
  <si>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</si>
  <si>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</si>
  <si>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</si>
  <si>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</si>
  <si>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</si>
  <si>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</si>
  <si>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</si>
  <si>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</si>
  <si>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</si>
  <si>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</si>
  <si>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</si>
  <si>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</si>
  <si>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</si>
  <si>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</si>
  <si>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</si>
  <si>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</si>
  <si>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</si>
  <si>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</si>
  <si>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</si>
  <si>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</si>
  <si>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</si>
  <si>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</si>
  <si>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</si>
  <si>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</si>
  <si>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</si>
  <si>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</si>
  <si>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</si>
  <si>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</si>
  <si>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</si>
  <si>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</si>
  <si>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</si>
  <si>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</si>
  <si>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</si>
  <si>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</si>
  <si>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</si>
  <si>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</si>
  <si>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</si>
  <si>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</si>
  <si>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</si>
  <si>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</si>
  <si>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</si>
  <si>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</si>
  <si>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</si>
  <si>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</si>
  <si>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</si>
  <si>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</si>
  <si>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</si>
  <si>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</si>
  <si>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</si>
  <si>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</si>
  <si>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</si>
  <si>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</si>
  <si>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</si>
  <si>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</si>
  <si>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</si>
  <si>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</si>
  <si>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</si>
  <si>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</si>
  <si>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</si>
  <si>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</si>
  <si>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</si>
  <si>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</si>
  <si>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</si>
  <si>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</si>
  <si>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</si>
  <si>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</si>
  <si>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</si>
  <si>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</si>
  <si>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</si>
  <si>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</si>
  <si>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</si>
  <si>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</si>
  <si>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</si>
  <si>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</si>
  <si>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</si>
  <si>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</si>
  <si>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</si>
  <si>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</si>
  <si>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</si>
  <si>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</si>
  <si>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</si>
  <si>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</si>
  <si>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</si>
  <si>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</si>
  <si>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</si>
  <si>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</si>
  <si>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</si>
  <si>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</si>
  <si>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</si>
  <si>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</si>
  <si>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</si>
  <si>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</si>
  <si>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</si>
  <si>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</si>
  <si>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</si>
  <si>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</si>
  <si>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</si>
  <si>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</si>
  <si>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</si>
  <si>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</si>
  <si>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</si>
  <si>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</si>
  <si>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</si>
  <si>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</si>
  <si>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</si>
  <si>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</si>
  <si>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</si>
  <si>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</si>
  <si>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</si>
  <si>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</si>
  <si>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</si>
  <si>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</si>
  <si>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</si>
  <si>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</si>
  <si>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</si>
  <si>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</si>
  <si>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</si>
  <si>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</si>
  <si>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</si>
  <si>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</si>
  <si>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</si>
  <si>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</si>
  <si>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</si>
  <si>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</si>
  <si>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</si>
  <si>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</si>
  <si>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</si>
  <si>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</si>
  <si>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</si>
  <si>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</si>
  <si>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</si>
  <si>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</si>
  <si>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</si>
  <si>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</si>
  <si>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</si>
  <si>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</si>
  <si>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</si>
  <si>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</si>
  <si>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</si>
  <si>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</si>
  <si>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</si>
  <si>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</si>
  <si>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</si>
  <si>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</si>
  <si>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</si>
  <si>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</si>
  <si>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</si>
  <si>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</si>
  <si>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</si>
  <si>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</si>
  <si>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</si>
  <si>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</si>
  <si>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</si>
  <si>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</si>
  <si>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</si>
  <si>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</si>
  <si>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</si>
  <si>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</si>
  <si>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</si>
  <si>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</si>
  <si>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</si>
  <si>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</si>
  <si>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</si>
  <si>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</si>
  <si>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</si>
  <si>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</si>
  <si>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</si>
  <si>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</si>
  <si>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</si>
  <si>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</si>
  <si>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</si>
  <si>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</si>
  <si>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</si>
  <si>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</si>
  <si>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</si>
  <si>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</si>
  <si>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</si>
  <si>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</si>
  <si>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</si>
  <si>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</si>
  <si>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</si>
  <si>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</si>
  <si>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</si>
  <si>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</si>
  <si>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</si>
  <si>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</si>
  <si>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</si>
  <si>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</si>
  <si>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</si>
  <si>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</si>
  <si>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</si>
  <si>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</si>
  <si>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</si>
  <si>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</si>
  <si>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</si>
  <si>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</si>
  <si>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</si>
  <si>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</si>
  <si>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</si>
  <si>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</si>
  <si>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</si>
  <si>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</si>
  <si>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</si>
  <si>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</si>
  <si>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</si>
  <si>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</si>
  <si>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</si>
  <si>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</si>
  <si>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</si>
  <si>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</si>
  <si>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</si>
  <si>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</si>
  <si>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</si>
  <si>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</si>
  <si>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</si>
  <si>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</si>
  <si>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</si>
  <si>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</si>
  <si>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</si>
  <si>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</si>
  <si>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</si>
  <si>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</si>
  <si>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</si>
  <si>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</si>
  <si>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</si>
  <si>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</si>
  <si>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</si>
  <si>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</si>
  <si>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</si>
  <si>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</si>
  <si>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</si>
  <si>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</si>
  <si>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</si>
  <si>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</si>
  <si>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</si>
  <si>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</si>
  <si>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</si>
  <si>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</si>
  <si>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</si>
  <si>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</si>
  <si>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</si>
  <si>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</si>
  <si>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</si>
  <si>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</si>
  <si>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</si>
  <si>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</si>
  <si>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</si>
  <si>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</si>
  <si>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</si>
  <si>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</si>
  <si>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</si>
  <si>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</si>
  <si>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</si>
  <si>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</si>
  <si>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</si>
  <si>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</si>
  <si>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</si>
  <si>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</si>
  <si>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</si>
  <si>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</si>
  <si>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</si>
  <si>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</si>
  <si>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</si>
  <si>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</si>
  <si>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</si>
  <si>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</si>
  <si>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</si>
  <si>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</si>
  <si>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</si>
  <si>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</si>
  <si>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</si>
  <si>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</si>
  <si>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</si>
  <si>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</si>
  <si>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</si>
  <si>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</si>
  <si>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</si>
  <si>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</si>
  <si>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</si>
  <si>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</si>
  <si>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</si>
  <si>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</si>
  <si>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</si>
  <si>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</si>
  <si>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</si>
  <si>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</si>
  <si>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</si>
  <si>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</si>
  <si>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</si>
  <si>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</si>
  <si>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</si>
  <si>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</si>
  <si>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</si>
  <si>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</si>
  <si>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</si>
  <si>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</si>
  <si>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</si>
  <si>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</si>
  <si>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</si>
  <si>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</si>
  <si>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</si>
  <si>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</si>
  <si>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</si>
  <si>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</si>
  <si>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</si>
  <si>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</si>
  <si>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</si>
  <si>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</si>
  <si>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</si>
  <si>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</si>
  <si>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</si>
  <si>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</si>
  <si>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</si>
  <si>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</si>
  <si>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</si>
  <si>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</si>
  <si>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</si>
  <si>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</si>
  <si>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</si>
  <si>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</si>
  <si>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</si>
  <si>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</si>
  <si>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</si>
  <si>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</si>
  <si>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</si>
  <si>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</si>
  <si>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</si>
  <si>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</si>
  <si>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</si>
  <si>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</si>
  <si>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24130</t>
  </si>
  <si>
    <t>ZOUTLEEUW</t>
  </si>
  <si>
    <t>Paarden&amp;pony's 200 - 600 kg</t>
  </si>
  <si>
    <t>Paarden&amp;pony's &lt; 200 kg</t>
  </si>
  <si>
    <t>op basis van VEA (maart 2018) en Inventaris Hernieuwbare Energiebronnen (juni 2018)</t>
  </si>
  <si>
    <t>VEA (juni 2018)</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</si>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</sst>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24130</v>
      </c>
      <c r="B6" s="397"/>
      <c r="C6" s="398"/>
    </row>
    <row r="7" spans="1:7" s="395" customFormat="1" ht="15.75" customHeight="1">
      <c r="A7" s="399" t="str">
        <f>txtMunicipality</f>
        <v>ZOUTLEEUW</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22982.499</v>
      </c>
      <c r="D10" s="703">
        <f ca="1">tertiair!C16</f>
        <v>15075</v>
      </c>
      <c r="E10" s="703">
        <f ca="1">tertiair!D16</f>
        <v>4165.5018460000001</v>
      </c>
      <c r="F10" s="703">
        <f>tertiair!E16</f>
        <v>71.012986037521983</v>
      </c>
      <c r="G10" s="703">
        <f ca="1">tertiair!F16</f>
        <v>2224.3705029650914</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44518.384335002607</v>
      </c>
      <c r="S10" s="68"/>
    </row>
    <row r="11" spans="1:19" s="458" customFormat="1">
      <c r="A11" s="859" t="s">
        <v>225</v>
      </c>
      <c r="B11" s="864"/>
      <c r="C11" s="703">
        <f>huishoudens!B8</f>
        <v>15792.102247931181</v>
      </c>
      <c r="D11" s="703">
        <f>huishoudens!C8</f>
        <v>0</v>
      </c>
      <c r="E11" s="703">
        <f>huishoudens!D8</f>
        <v>12403.977476000002</v>
      </c>
      <c r="F11" s="703">
        <f>huishoudens!E8</f>
        <v>3105.2781367573025</v>
      </c>
      <c r="G11" s="703">
        <f>huishoudens!F8</f>
        <v>38745.444883699667</v>
      </c>
      <c r="H11" s="703">
        <f>huishoudens!G8</f>
        <v>0</v>
      </c>
      <c r="I11" s="703">
        <f>huishoudens!H8</f>
        <v>0</v>
      </c>
      <c r="J11" s="703">
        <f>huishoudens!I8</f>
        <v>0</v>
      </c>
      <c r="K11" s="703">
        <f>huishoudens!J8</f>
        <v>1836.6184954118867</v>
      </c>
      <c r="L11" s="703">
        <f>huishoudens!K8</f>
        <v>0</v>
      </c>
      <c r="M11" s="703">
        <f>huishoudens!L8</f>
        <v>0</v>
      </c>
      <c r="N11" s="703">
        <f>huishoudens!M8</f>
        <v>0</v>
      </c>
      <c r="O11" s="703">
        <f>huishoudens!N8</f>
        <v>13133.331652404795</v>
      </c>
      <c r="P11" s="703">
        <f>huishoudens!O8</f>
        <v>39.083333333333336</v>
      </c>
      <c r="Q11" s="704">
        <f>huishoudens!P8</f>
        <v>228.8</v>
      </c>
      <c r="R11" s="706">
        <f>SUM(C11:Q11)</f>
        <v>85284.636225538154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742.12200000000007</v>
      </c>
      <c r="D13" s="703">
        <f>industrie!C18</f>
        <v>0</v>
      </c>
      <c r="E13" s="703">
        <f>industrie!D18</f>
        <v>345.85115400000001</v>
      </c>
      <c r="F13" s="703">
        <f>industrie!E18</f>
        <v>5.0112536099295939</v>
      </c>
      <c r="G13" s="703">
        <f>industrie!F18</f>
        <v>463.97634732904817</v>
      </c>
      <c r="H13" s="703">
        <f>industrie!G18</f>
        <v>0</v>
      </c>
      <c r="I13" s="703">
        <f>industrie!H18</f>
        <v>0</v>
      </c>
      <c r="J13" s="703">
        <f>industrie!I18</f>
        <v>0</v>
      </c>
      <c r="K13" s="703">
        <f>industrie!J18</f>
        <v>0.67524715610104558</v>
      </c>
      <c r="L13" s="703">
        <f>industrie!K18</f>
        <v>0</v>
      </c>
      <c r="M13" s="703">
        <f>industrie!L18</f>
        <v>0</v>
      </c>
      <c r="N13" s="703">
        <f>industrie!M18</f>
        <v>0</v>
      </c>
      <c r="O13" s="703">
        <f>industrie!N18</f>
        <v>44.778994076673193</v>
      </c>
      <c r="P13" s="703">
        <f>industrie!O18</f>
        <v>0</v>
      </c>
      <c r="Q13" s="704">
        <f>industrie!P18</f>
        <v>0</v>
      </c>
      <c r="R13" s="706">
        <f>SUM(C13:Q13)</f>
        <v>1602.4149961717519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39516.723247931186</v>
      </c>
      <c r="D15" s="708">
        <f t="shared" ref="D15:Q15" ca="1" si="0">SUM(D9:D14)</f>
        <v>15075</v>
      </c>
      <c r="E15" s="708">
        <f t="shared" ca="1" si="0"/>
        <v>16915.330476000003</v>
      </c>
      <c r="F15" s="708">
        <f t="shared" si="0"/>
        <v>3181.3023764047539</v>
      </c>
      <c r="G15" s="708">
        <f t="shared" ca="1" si="0"/>
        <v>41433.791733993807</v>
      </c>
      <c r="H15" s="708">
        <f t="shared" si="0"/>
        <v>0</v>
      </c>
      <c r="I15" s="708">
        <f t="shared" si="0"/>
        <v>0</v>
      </c>
      <c r="J15" s="708">
        <f t="shared" si="0"/>
        <v>0</v>
      </c>
      <c r="K15" s="708">
        <f t="shared" si="0"/>
        <v>1837.2937425679877</v>
      </c>
      <c r="L15" s="708">
        <f t="shared" si="0"/>
        <v>0</v>
      </c>
      <c r="M15" s="708">
        <f t="shared" ca="1" si="0"/>
        <v>0</v>
      </c>
      <c r="N15" s="708">
        <f t="shared" si="0"/>
        <v>0</v>
      </c>
      <c r="O15" s="708">
        <f t="shared" ca="1" si="0"/>
        <v>13178.110646481467</v>
      </c>
      <c r="P15" s="708">
        <f t="shared" si="0"/>
        <v>39.083333333333336</v>
      </c>
      <c r="Q15" s="709">
        <f t="shared" si="0"/>
        <v>228.8</v>
      </c>
      <c r="R15" s="710">
        <f ca="1">SUM(R9:R14)</f>
        <v>131405.4355567125</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1109.0502416471534</v>
      </c>
      <c r="I18" s="703">
        <f>transport!H54</f>
        <v>0</v>
      </c>
      <c r="J18" s="703">
        <f>transport!I54</f>
        <v>0</v>
      </c>
      <c r="K18" s="703">
        <f>transport!J54</f>
        <v>0</v>
      </c>
      <c r="L18" s="703">
        <f>transport!K54</f>
        <v>0</v>
      </c>
      <c r="M18" s="703">
        <f>transport!L54</f>
        <v>0</v>
      </c>
      <c r="N18" s="703">
        <f>transport!M54</f>
        <v>48.700225603536879</v>
      </c>
      <c r="O18" s="703">
        <f>transport!N54</f>
        <v>0</v>
      </c>
      <c r="P18" s="703">
        <f>transport!O54</f>
        <v>0</v>
      </c>
      <c r="Q18" s="704">
        <f>transport!P54</f>
        <v>0</v>
      </c>
      <c r="R18" s="706">
        <f>SUM(C18:Q18)</f>
        <v>1157.7504672506902</v>
      </c>
      <c r="S18" s="68"/>
    </row>
    <row r="19" spans="1:19" s="458" customFormat="1" ht="15" thickBot="1">
      <c r="A19" s="859" t="s">
        <v>307</v>
      </c>
      <c r="B19" s="864"/>
      <c r="C19" s="712">
        <f>transport!B14</f>
        <v>0.90004759012487234</v>
      </c>
      <c r="D19" s="712">
        <f>transport!C14</f>
        <v>0</v>
      </c>
      <c r="E19" s="712">
        <f>transport!D14</f>
        <v>3.1353272051687253</v>
      </c>
      <c r="F19" s="712">
        <f>transport!E14</f>
        <v>175.47727597759319</v>
      </c>
      <c r="G19" s="712">
        <f>transport!F14</f>
        <v>0</v>
      </c>
      <c r="H19" s="712">
        <f>transport!G14</f>
        <v>30661.906061913796</v>
      </c>
      <c r="I19" s="712">
        <f>transport!H14</f>
        <v>6841.5937304407171</v>
      </c>
      <c r="J19" s="712">
        <f>transport!I14</f>
        <v>0</v>
      </c>
      <c r="K19" s="712">
        <f>transport!J14</f>
        <v>0</v>
      </c>
      <c r="L19" s="712">
        <f>transport!K14</f>
        <v>0</v>
      </c>
      <c r="M19" s="712">
        <f>transport!L14</f>
        <v>0</v>
      </c>
      <c r="N19" s="712">
        <f>transport!M14</f>
        <v>1678.3340197051107</v>
      </c>
      <c r="O19" s="712">
        <f>transport!N14</f>
        <v>0</v>
      </c>
      <c r="P19" s="712">
        <f>transport!O14</f>
        <v>0</v>
      </c>
      <c r="Q19" s="713">
        <f>transport!P14</f>
        <v>0</v>
      </c>
      <c r="R19" s="714">
        <f>SUM(C19:Q19)</f>
        <v>39361.346462832509</v>
      </c>
      <c r="S19" s="68"/>
    </row>
    <row r="20" spans="1:19" s="458" customFormat="1" ht="15.75" thickBot="1">
      <c r="A20" s="715" t="s">
        <v>230</v>
      </c>
      <c r="B20" s="867"/>
      <c r="C20" s="862">
        <f>SUM(C17:C19)</f>
        <v>0.90004759012487234</v>
      </c>
      <c r="D20" s="716">
        <f t="shared" ref="D20:R20" si="1">SUM(D17:D19)</f>
        <v>0</v>
      </c>
      <c r="E20" s="716">
        <f t="shared" si="1"/>
        <v>3.1353272051687253</v>
      </c>
      <c r="F20" s="716">
        <f t="shared" si="1"/>
        <v>175.47727597759319</v>
      </c>
      <c r="G20" s="716">
        <f t="shared" si="1"/>
        <v>0</v>
      </c>
      <c r="H20" s="716">
        <f t="shared" si="1"/>
        <v>31770.95630356095</v>
      </c>
      <c r="I20" s="716">
        <f t="shared" si="1"/>
        <v>6841.5937304407171</v>
      </c>
      <c r="J20" s="716">
        <f t="shared" si="1"/>
        <v>0</v>
      </c>
      <c r="K20" s="716">
        <f t="shared" si="1"/>
        <v>0</v>
      </c>
      <c r="L20" s="716">
        <f t="shared" si="1"/>
        <v>0</v>
      </c>
      <c r="M20" s="716">
        <f t="shared" si="1"/>
        <v>0</v>
      </c>
      <c r="N20" s="716">
        <f t="shared" si="1"/>
        <v>1727.0342453086475</v>
      </c>
      <c r="O20" s="716">
        <f t="shared" si="1"/>
        <v>0</v>
      </c>
      <c r="P20" s="716">
        <f t="shared" si="1"/>
        <v>0</v>
      </c>
      <c r="Q20" s="717">
        <f t="shared" si="1"/>
        <v>0</v>
      </c>
      <c r="R20" s="718">
        <f t="shared" si="1"/>
        <v>40519.0969300832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1706.239</v>
      </c>
      <c r="D22" s="712">
        <f>+landbouw!C8</f>
        <v>0</v>
      </c>
      <c r="E22" s="712">
        <f>+landbouw!D8</f>
        <v>111.955338</v>
      </c>
      <c r="F22" s="712">
        <f>+landbouw!E8</f>
        <v>16.073914597631077</v>
      </c>
      <c r="G22" s="712">
        <f>+landbouw!F8</f>
        <v>5568.0241079940906</v>
      </c>
      <c r="H22" s="712">
        <f>+landbouw!G8</f>
        <v>0</v>
      </c>
      <c r="I22" s="712">
        <f>+landbouw!H8</f>
        <v>0</v>
      </c>
      <c r="J22" s="712">
        <f>+landbouw!I8</f>
        <v>0</v>
      </c>
      <c r="K22" s="712">
        <f>+landbouw!J8</f>
        <v>211.07006344490182</v>
      </c>
      <c r="L22" s="712">
        <f>+landbouw!K8</f>
        <v>0</v>
      </c>
      <c r="M22" s="712">
        <f>+landbouw!L8</f>
        <v>0</v>
      </c>
      <c r="N22" s="712">
        <f>+landbouw!M8</f>
        <v>0</v>
      </c>
      <c r="O22" s="712">
        <f>+landbouw!N8</f>
        <v>0</v>
      </c>
      <c r="P22" s="712">
        <f>+landbouw!O8</f>
        <v>0</v>
      </c>
      <c r="Q22" s="713">
        <f>+landbouw!P8</f>
        <v>0</v>
      </c>
      <c r="R22" s="714">
        <f>SUM(C22:Q22)</f>
        <v>7613.3624240366244</v>
      </c>
      <c r="S22" s="68"/>
    </row>
    <row r="23" spans="1:19" s="458" customFormat="1" ht="17.25" thickTop="1" thickBot="1">
      <c r="A23" s="719" t="s">
        <v>116</v>
      </c>
      <c r="B23" s="853"/>
      <c r="C23" s="720">
        <f ca="1">C20+C15+C22</f>
        <v>41223.862295521314</v>
      </c>
      <c r="D23" s="720">
        <f t="shared" ref="D23:Q23" ca="1" si="2">D20+D15+D22</f>
        <v>15075</v>
      </c>
      <c r="E23" s="720">
        <f t="shared" ca="1" si="2"/>
        <v>17030.42114120517</v>
      </c>
      <c r="F23" s="720">
        <f t="shared" si="2"/>
        <v>3372.8535669799785</v>
      </c>
      <c r="G23" s="720">
        <f t="shared" ca="1" si="2"/>
        <v>47001.815841987896</v>
      </c>
      <c r="H23" s="720">
        <f t="shared" si="2"/>
        <v>31770.95630356095</v>
      </c>
      <c r="I23" s="720">
        <f t="shared" si="2"/>
        <v>6841.5937304407171</v>
      </c>
      <c r="J23" s="720">
        <f t="shared" si="2"/>
        <v>0</v>
      </c>
      <c r="K23" s="720">
        <f t="shared" si="2"/>
        <v>2048.3638060128897</v>
      </c>
      <c r="L23" s="720">
        <f t="shared" si="2"/>
        <v>0</v>
      </c>
      <c r="M23" s="720">
        <f t="shared" ca="1" si="2"/>
        <v>0</v>
      </c>
      <c r="N23" s="720">
        <f t="shared" si="2"/>
        <v>1727.0342453086475</v>
      </c>
      <c r="O23" s="720">
        <f t="shared" ca="1" si="2"/>
        <v>13178.110646481467</v>
      </c>
      <c r="P23" s="720">
        <f t="shared" si="2"/>
        <v>39.083333333333336</v>
      </c>
      <c r="Q23" s="721">
        <f t="shared" si="2"/>
        <v>228.8</v>
      </c>
      <c r="R23" s="722">
        <f ca="1">R20+R15+R22</f>
        <v>179537.89491083234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3315.4571668010103</v>
      </c>
      <c r="D36" s="703">
        <f ca="1">tertiair!C20</f>
        <v>0</v>
      </c>
      <c r="E36" s="703">
        <f ca="1">tertiair!D20</f>
        <v>841.43137289200013</v>
      </c>
      <c r="F36" s="703">
        <f>tertiair!E20</f>
        <v>16.119947830517489</v>
      </c>
      <c r="G36" s="703">
        <f ca="1">tertiair!F20</f>
        <v>593.90692429167939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4766.9154118152073</v>
      </c>
    </row>
    <row r="37" spans="1:18">
      <c r="A37" s="874" t="s">
        <v>225</v>
      </c>
      <c r="B37" s="881"/>
      <c r="C37" s="703">
        <f ca="1">huishoudens!B12</f>
        <v>2278.1699490885558</v>
      </c>
      <c r="D37" s="703">
        <f ca="1">huishoudens!C12</f>
        <v>0</v>
      </c>
      <c r="E37" s="703">
        <f>huishoudens!D12</f>
        <v>2505.6034501520007</v>
      </c>
      <c r="F37" s="703">
        <f>huishoudens!E12</f>
        <v>704.8981370439077</v>
      </c>
      <c r="G37" s="703">
        <f>huishoudens!F12</f>
        <v>10345.033783947812</v>
      </c>
      <c r="H37" s="703">
        <f>huishoudens!G12</f>
        <v>0</v>
      </c>
      <c r="I37" s="703">
        <f>huishoudens!H12</f>
        <v>0</v>
      </c>
      <c r="J37" s="703">
        <f>huishoudens!I12</f>
        <v>0</v>
      </c>
      <c r="K37" s="703">
        <f>huishoudens!J12</f>
        <v>650.1629473758079</v>
      </c>
      <c r="L37" s="703">
        <f>huishoudens!K12</f>
        <v>0</v>
      </c>
      <c r="M37" s="703">
        <f>huishoudens!L12</f>
        <v>0</v>
      </c>
      <c r="N37" s="703">
        <f>huishoudens!M12</f>
        <v>0</v>
      </c>
      <c r="O37" s="703">
        <f>huishoudens!N12</f>
        <v>0</v>
      </c>
      <c r="P37" s="703">
        <f>huishoudens!O12</f>
        <v>0</v>
      </c>
      <c r="Q37" s="813">
        <f>huishoudens!P12</f>
        <v>0</v>
      </c>
      <c r="R37" s="906">
        <f ca="1">SUM(C37:Q37)</f>
        <v>16483.868267608086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107.05857981504533</v>
      </c>
      <c r="D39" s="703">
        <f ca="1">industrie!C22</f>
        <v>0</v>
      </c>
      <c r="E39" s="703">
        <f>industrie!D22</f>
        <v>69.861933108000002</v>
      </c>
      <c r="F39" s="703">
        <f>industrie!E22</f>
        <v>1.1375545694540179</v>
      </c>
      <c r="G39" s="703">
        <f>industrie!F22</f>
        <v>123.88168473685587</v>
      </c>
      <c r="H39" s="703">
        <f>industrie!G22</f>
        <v>0</v>
      </c>
      <c r="I39" s="703">
        <f>industrie!H22</f>
        <v>0</v>
      </c>
      <c r="J39" s="703">
        <f>industrie!I22</f>
        <v>0</v>
      </c>
      <c r="K39" s="703">
        <f>industrie!J22</f>
        <v>0.23903749325977011</v>
      </c>
      <c r="L39" s="703">
        <f>industrie!K22</f>
        <v>0</v>
      </c>
      <c r="M39" s="703">
        <f>industrie!L22</f>
        <v>0</v>
      </c>
      <c r="N39" s="703">
        <f>industrie!M22</f>
        <v>0</v>
      </c>
      <c r="O39" s="703">
        <f>industrie!N22</f>
        <v>0</v>
      </c>
      <c r="P39" s="703">
        <f>industrie!O22</f>
        <v>0</v>
      </c>
      <c r="Q39" s="813">
        <f>industrie!P22</f>
        <v>0</v>
      </c>
      <c r="R39" s="907">
        <f ca="1">SUM(C39:Q39)</f>
        <v>302.17878972261502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5700.6856957046111</v>
      </c>
      <c r="D41" s="748">
        <f t="shared" ref="D41:R41" ca="1" si="4">SUM(D35:D40)</f>
        <v>0</v>
      </c>
      <c r="E41" s="748">
        <f t="shared" ca="1" si="4"/>
        <v>3416.8967561520008</v>
      </c>
      <c r="F41" s="748">
        <f t="shared" si="4"/>
        <v>722.15563944387918</v>
      </c>
      <c r="G41" s="748">
        <f t="shared" ca="1" si="4"/>
        <v>11062.822392976348</v>
      </c>
      <c r="H41" s="748">
        <f t="shared" si="4"/>
        <v>0</v>
      </c>
      <c r="I41" s="748">
        <f t="shared" si="4"/>
        <v>0</v>
      </c>
      <c r="J41" s="748">
        <f t="shared" si="4"/>
        <v>0</v>
      </c>
      <c r="K41" s="748">
        <f t="shared" si="4"/>
        <v>650.40198486906763</v>
      </c>
      <c r="L41" s="748">
        <f t="shared" si="4"/>
        <v>0</v>
      </c>
      <c r="M41" s="748">
        <f t="shared" ca="1" si="4"/>
        <v>0</v>
      </c>
      <c r="N41" s="748">
        <f t="shared" si="4"/>
        <v>0</v>
      </c>
      <c r="O41" s="748">
        <f t="shared" ca="1" si="4"/>
        <v>0</v>
      </c>
      <c r="P41" s="748">
        <f t="shared" si="4"/>
        <v>0</v>
      </c>
      <c r="Q41" s="749">
        <f t="shared" si="4"/>
        <v>0</v>
      </c>
      <c r="R41" s="750">
        <f t="shared" ca="1" si="4"/>
        <v>21552.96246914591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296.11641451978994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296.11641451978994</v>
      </c>
    </row>
    <row r="45" spans="1:18" ht="15" thickBot="1">
      <c r="A45" s="877" t="s">
        <v>307</v>
      </c>
      <c r="B45" s="887"/>
      <c r="C45" s="712">
        <f ca="1">transport!B18</f>
        <v>0.12984093823484932</v>
      </c>
      <c r="D45" s="712">
        <f>transport!C18</f>
        <v>0</v>
      </c>
      <c r="E45" s="712">
        <f>transport!D18</f>
        <v>0.63333609544408254</v>
      </c>
      <c r="F45" s="712">
        <f>transport!E18</f>
        <v>39.833341646913659</v>
      </c>
      <c r="G45" s="712">
        <f>transport!F18</f>
        <v>0</v>
      </c>
      <c r="H45" s="712">
        <f>transport!G18</f>
        <v>8186.7289185309837</v>
      </c>
      <c r="I45" s="712">
        <f>transport!H18</f>
        <v>1703.5568388797385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9930.8822760913154</v>
      </c>
    </row>
    <row r="46" spans="1:18" ht="15.75" thickBot="1">
      <c r="A46" s="875" t="s">
        <v>230</v>
      </c>
      <c r="B46" s="888"/>
      <c r="C46" s="748">
        <f t="shared" ref="C46:R46" ca="1" si="5">SUM(C43:C45)</f>
        <v>0.12984093823484932</v>
      </c>
      <c r="D46" s="748">
        <f t="shared" ca="1" si="5"/>
        <v>0</v>
      </c>
      <c r="E46" s="748">
        <f t="shared" si="5"/>
        <v>0.63333609544408254</v>
      </c>
      <c r="F46" s="748">
        <f t="shared" si="5"/>
        <v>39.833341646913659</v>
      </c>
      <c r="G46" s="748">
        <f t="shared" si="5"/>
        <v>0</v>
      </c>
      <c r="H46" s="748">
        <f t="shared" si="5"/>
        <v>8482.8453330507728</v>
      </c>
      <c r="I46" s="748">
        <f t="shared" si="5"/>
        <v>1703.5568388797385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10226.998690611104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246.14217630664922</v>
      </c>
      <c r="D48" s="703">
        <f ca="1">+landbouw!C12</f>
        <v>0</v>
      </c>
      <c r="E48" s="703">
        <f>+landbouw!D12</f>
        <v>22.614978276000002</v>
      </c>
      <c r="F48" s="703">
        <f>+landbouw!E12</f>
        <v>3.6487786136622549</v>
      </c>
      <c r="G48" s="703">
        <f>+landbouw!F12</f>
        <v>1486.6624368344224</v>
      </c>
      <c r="H48" s="703">
        <f>+landbouw!G12</f>
        <v>0</v>
      </c>
      <c r="I48" s="703">
        <f>+landbouw!H12</f>
        <v>0</v>
      </c>
      <c r="J48" s="703">
        <f>+landbouw!I12</f>
        <v>0</v>
      </c>
      <c r="K48" s="703">
        <f>+landbouw!J12</f>
        <v>74.718802459495237</v>
      </c>
      <c r="L48" s="703">
        <f>+landbouw!K12</f>
        <v>0</v>
      </c>
      <c r="M48" s="703">
        <f>+landbouw!L12</f>
        <v>0</v>
      </c>
      <c r="N48" s="703">
        <f>+landbouw!M12</f>
        <v>0</v>
      </c>
      <c r="O48" s="703">
        <f>+landbouw!N12</f>
        <v>0</v>
      </c>
      <c r="P48" s="703">
        <f>+landbouw!O12</f>
        <v>0</v>
      </c>
      <c r="Q48" s="704">
        <f>+landbouw!P12</f>
        <v>0</v>
      </c>
      <c r="R48" s="746">
        <f ca="1">SUM(C48:Q48)</f>
        <v>1833.7871724902291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5946.9577129494955</v>
      </c>
      <c r="D53" s="758">
        <f t="shared" ref="D53:Q53" ca="1" si="6">D41+D46+D48</f>
        <v>0</v>
      </c>
      <c r="E53" s="758">
        <f t="shared" ca="1" si="6"/>
        <v>3440.1450705234447</v>
      </c>
      <c r="F53" s="758">
        <f t="shared" si="6"/>
        <v>765.63775970445511</v>
      </c>
      <c r="G53" s="758">
        <f t="shared" ca="1" si="6"/>
        <v>12549.48482981077</v>
      </c>
      <c r="H53" s="758">
        <f t="shared" si="6"/>
        <v>8482.8453330507728</v>
      </c>
      <c r="I53" s="758">
        <f t="shared" si="6"/>
        <v>1703.5568388797385</v>
      </c>
      <c r="J53" s="758">
        <f t="shared" si="6"/>
        <v>0</v>
      </c>
      <c r="K53" s="758">
        <f t="shared" si="6"/>
        <v>725.12078732856287</v>
      </c>
      <c r="L53" s="758">
        <f t="shared" si="6"/>
        <v>0</v>
      </c>
      <c r="M53" s="758">
        <f t="shared" ca="1" si="6"/>
        <v>0</v>
      </c>
      <c r="N53" s="758">
        <f t="shared" si="6"/>
        <v>0</v>
      </c>
      <c r="O53" s="758">
        <f t="shared" ca="1" si="6"/>
        <v>0</v>
      </c>
      <c r="P53" s="758">
        <f>P41+P46+P48</f>
        <v>0</v>
      </c>
      <c r="Q53" s="759">
        <f t="shared" si="6"/>
        <v>0</v>
      </c>
      <c r="R53" s="760">
        <f ca="1">R41+R46+R48</f>
        <v>33613.748332247247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0.14426008097731277</v>
      </c>
      <c r="D55" s="824">
        <f t="shared" ca="1" si="7"/>
        <v>0</v>
      </c>
      <c r="E55" s="824">
        <f t="shared" ca="1" si="7"/>
        <v>0.20200000000000001</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3762.0513771978021</v>
      </c>
      <c r="C66" s="780">
        <f>'lokale energieproductie'!B6</f>
        <v>3762.0513771978021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10552.5</v>
      </c>
      <c r="C67" s="779">
        <f>B67*IFERROR(SUM(J67:L67)/SUM(D67:M67),0)</f>
        <v>10552.5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12414.705882352942</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14314.551377197802</v>
      </c>
      <c r="C69" s="788">
        <f>SUM(C64:C68)</f>
        <v>14314.551377197802</v>
      </c>
      <c r="D69" s="789">
        <f t="shared" ref="D69:M69" si="8">SUM(D67:D68)</f>
        <v>0</v>
      </c>
      <c r="E69" s="789">
        <f t="shared" si="8"/>
        <v>0</v>
      </c>
      <c r="F69" s="789">
        <f t="shared" si="8"/>
        <v>0</v>
      </c>
      <c r="G69" s="789">
        <f t="shared" si="8"/>
        <v>0</v>
      </c>
      <c r="H69" s="789">
        <f t="shared" si="8"/>
        <v>0</v>
      </c>
      <c r="I69" s="789">
        <f t="shared" si="8"/>
        <v>0</v>
      </c>
      <c r="J69" s="789">
        <f t="shared" si="8"/>
        <v>0</v>
      </c>
      <c r="K69" s="789">
        <f t="shared" si="8"/>
        <v>12414.705882352942</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15075</v>
      </c>
      <c r="C78" s="802">
        <f>B78*IFERROR(SUM(I78:L78)/SUM(D78:M78),0)</f>
        <v>15075</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17735.294117647063</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15075</v>
      </c>
      <c r="C81" s="788">
        <f>SUM(C78:C80)</f>
        <v>15075</v>
      </c>
      <c r="D81" s="788">
        <f t="shared" ref="D81:P81" si="9">SUM(D78:D80)</f>
        <v>0</v>
      </c>
      <c r="E81" s="788">
        <f t="shared" si="9"/>
        <v>0</v>
      </c>
      <c r="F81" s="788">
        <f t="shared" si="9"/>
        <v>0</v>
      </c>
      <c r="G81" s="788">
        <f t="shared" si="9"/>
        <v>0</v>
      </c>
      <c r="H81" s="788">
        <f t="shared" si="9"/>
        <v>0</v>
      </c>
      <c r="I81" s="788">
        <f t="shared" si="9"/>
        <v>0</v>
      </c>
      <c r="J81" s="788">
        <f t="shared" si="9"/>
        <v>0</v>
      </c>
      <c r="K81" s="788">
        <f t="shared" si="9"/>
        <v>17735.294117647063</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15792.102247931181</v>
      </c>
      <c r="C4" s="462">
        <f>huishoudens!C8</f>
        <v>0</v>
      </c>
      <c r="D4" s="462">
        <f>huishoudens!D8</f>
        <v>12403.977476000002</v>
      </c>
      <c r="E4" s="462">
        <f>huishoudens!E8</f>
        <v>3105.2781367573025</v>
      </c>
      <c r="F4" s="462">
        <f>huishoudens!F8</f>
        <v>38745.444883699667</v>
      </c>
      <c r="G4" s="462">
        <f>huishoudens!G8</f>
        <v>0</v>
      </c>
      <c r="H4" s="462">
        <f>huishoudens!H8</f>
        <v>0</v>
      </c>
      <c r="I4" s="462">
        <f>huishoudens!I8</f>
        <v>0</v>
      </c>
      <c r="J4" s="462">
        <f>huishoudens!J8</f>
        <v>1836.6184954118867</v>
      </c>
      <c r="K4" s="462">
        <f>huishoudens!K8</f>
        <v>0</v>
      </c>
      <c r="L4" s="462">
        <f>huishoudens!L8</f>
        <v>0</v>
      </c>
      <c r="M4" s="462">
        <f>huishoudens!M8</f>
        <v>0</v>
      </c>
      <c r="N4" s="462">
        <f>huishoudens!N8</f>
        <v>13133.331652404795</v>
      </c>
      <c r="O4" s="462">
        <f>huishoudens!O8</f>
        <v>39.083333333333336</v>
      </c>
      <c r="P4" s="463">
        <f>huishoudens!P8</f>
        <v>228.8</v>
      </c>
      <c r="Q4" s="464">
        <f>SUM(B4:P4)</f>
        <v>85284.636225538154</v>
      </c>
    </row>
    <row r="5" spans="1:17">
      <c r="A5" s="461" t="s">
        <v>156</v>
      </c>
      <c r="B5" s="462">
        <f ca="1">tertiair!B16</f>
        <v>22408.197</v>
      </c>
      <c r="C5" s="462">
        <f ca="1">tertiair!C16</f>
        <v>15075</v>
      </c>
      <c r="D5" s="462">
        <f ca="1">tertiair!D16</f>
        <v>4165.5018460000001</v>
      </c>
      <c r="E5" s="462">
        <f>tertiair!E16</f>
        <v>71.012986037521983</v>
      </c>
      <c r="F5" s="462">
        <f ca="1">tertiair!F16</f>
        <v>2224.3705029650914</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43944.082335002611</v>
      </c>
    </row>
    <row r="6" spans="1:17">
      <c r="A6" s="461" t="s">
        <v>194</v>
      </c>
      <c r="B6" s="462">
        <f>'openbare verlichting'!B8</f>
        <v>574.30200000000002</v>
      </c>
      <c r="C6" s="462"/>
      <c r="D6" s="462"/>
      <c r="E6" s="462"/>
      <c r="F6" s="462"/>
      <c r="G6" s="462"/>
      <c r="H6" s="462"/>
      <c r="I6" s="462"/>
      <c r="J6" s="462"/>
      <c r="K6" s="462"/>
      <c r="L6" s="462"/>
      <c r="M6" s="462"/>
      <c r="N6" s="462"/>
      <c r="O6" s="462"/>
      <c r="P6" s="463"/>
      <c r="Q6" s="461">
        <f t="shared" si="0"/>
        <v>574.30200000000002</v>
      </c>
    </row>
    <row r="7" spans="1:17">
      <c r="A7" s="461" t="s">
        <v>112</v>
      </c>
      <c r="B7" s="462">
        <f>landbouw!B8</f>
        <v>1706.239</v>
      </c>
      <c r="C7" s="462">
        <f>landbouw!C8</f>
        <v>0</v>
      </c>
      <c r="D7" s="462">
        <f>landbouw!D8</f>
        <v>111.955338</v>
      </c>
      <c r="E7" s="462">
        <f>landbouw!E8</f>
        <v>16.073914597631077</v>
      </c>
      <c r="F7" s="462">
        <f>landbouw!F8</f>
        <v>5568.0241079940906</v>
      </c>
      <c r="G7" s="462">
        <f>landbouw!G8</f>
        <v>0</v>
      </c>
      <c r="H7" s="462">
        <f>landbouw!H8</f>
        <v>0</v>
      </c>
      <c r="I7" s="462">
        <f>landbouw!I8</f>
        <v>0</v>
      </c>
      <c r="J7" s="462">
        <f>landbouw!J8</f>
        <v>211.07006344490182</v>
      </c>
      <c r="K7" s="462">
        <f>landbouw!K8</f>
        <v>0</v>
      </c>
      <c r="L7" s="462">
        <f>landbouw!L8</f>
        <v>0</v>
      </c>
      <c r="M7" s="462">
        <f>landbouw!M8</f>
        <v>0</v>
      </c>
      <c r="N7" s="462">
        <f>landbouw!N8</f>
        <v>0</v>
      </c>
      <c r="O7" s="462">
        <f>landbouw!O8</f>
        <v>0</v>
      </c>
      <c r="P7" s="463">
        <f>landbouw!P8</f>
        <v>0</v>
      </c>
      <c r="Q7" s="461">
        <f t="shared" si="0"/>
        <v>7613.3624240366244</v>
      </c>
    </row>
    <row r="8" spans="1:17">
      <c r="A8" s="461" t="s">
        <v>685</v>
      </c>
      <c r="B8" s="462">
        <f>industrie!B18</f>
        <v>742.12200000000007</v>
      </c>
      <c r="C8" s="462">
        <f>industrie!C18</f>
        <v>0</v>
      </c>
      <c r="D8" s="462">
        <f>industrie!D18</f>
        <v>345.85115400000001</v>
      </c>
      <c r="E8" s="462">
        <f>industrie!E18</f>
        <v>5.0112536099295939</v>
      </c>
      <c r="F8" s="462">
        <f>industrie!F18</f>
        <v>463.97634732904817</v>
      </c>
      <c r="G8" s="462">
        <f>industrie!G18</f>
        <v>0</v>
      </c>
      <c r="H8" s="462">
        <f>industrie!H18</f>
        <v>0</v>
      </c>
      <c r="I8" s="462">
        <f>industrie!I18</f>
        <v>0</v>
      </c>
      <c r="J8" s="462">
        <f>industrie!J18</f>
        <v>0.67524715610104558</v>
      </c>
      <c r="K8" s="462">
        <f>industrie!K18</f>
        <v>0</v>
      </c>
      <c r="L8" s="462">
        <f>industrie!L18</f>
        <v>0</v>
      </c>
      <c r="M8" s="462">
        <f>industrie!M18</f>
        <v>0</v>
      </c>
      <c r="N8" s="462">
        <f>industrie!N18</f>
        <v>44.778994076673193</v>
      </c>
      <c r="O8" s="462">
        <f>industrie!O18</f>
        <v>0</v>
      </c>
      <c r="P8" s="463">
        <f>industrie!P18</f>
        <v>0</v>
      </c>
      <c r="Q8" s="461">
        <f t="shared" si="0"/>
        <v>1602.4149961717519</v>
      </c>
    </row>
    <row r="9" spans="1:17" s="467" customFormat="1">
      <c r="A9" s="465" t="s">
        <v>579</v>
      </c>
      <c r="B9" s="466">
        <f>transport!B14</f>
        <v>0.90004759012487234</v>
      </c>
      <c r="C9" s="466"/>
      <c r="D9" s="466">
        <f>transport!D14</f>
        <v>3.1353272051687253</v>
      </c>
      <c r="E9" s="466">
        <f>transport!E14</f>
        <v>175.47727597759319</v>
      </c>
      <c r="F9" s="466"/>
      <c r="G9" s="466">
        <f>transport!G14</f>
        <v>30661.906061913796</v>
      </c>
      <c r="H9" s="466">
        <f>transport!H14</f>
        <v>6841.5937304407171</v>
      </c>
      <c r="I9" s="466"/>
      <c r="J9" s="466"/>
      <c r="K9" s="466"/>
      <c r="L9" s="466"/>
      <c r="M9" s="466">
        <f>transport!M14</f>
        <v>1678.3340197051107</v>
      </c>
      <c r="N9" s="466"/>
      <c r="O9" s="466"/>
      <c r="P9" s="466"/>
      <c r="Q9" s="465">
        <f>SUM(B9:P9)</f>
        <v>39361.346462832509</v>
      </c>
    </row>
    <row r="10" spans="1:17">
      <c r="A10" s="461" t="s">
        <v>569</v>
      </c>
      <c r="B10" s="462">
        <f>transport!B54</f>
        <v>0</v>
      </c>
      <c r="C10" s="462"/>
      <c r="D10" s="462">
        <f>transport!D54</f>
        <v>0</v>
      </c>
      <c r="E10" s="462"/>
      <c r="F10" s="462"/>
      <c r="G10" s="462">
        <f>transport!G54</f>
        <v>1109.0502416471534</v>
      </c>
      <c r="H10" s="462"/>
      <c r="I10" s="462"/>
      <c r="J10" s="462"/>
      <c r="K10" s="462"/>
      <c r="L10" s="462"/>
      <c r="M10" s="462">
        <f>transport!M54</f>
        <v>48.700225603536879</v>
      </c>
      <c r="N10" s="462"/>
      <c r="O10" s="462"/>
      <c r="P10" s="463"/>
      <c r="Q10" s="461">
        <f t="shared" si="0"/>
        <v>1157.7504672506902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41223.862295521314</v>
      </c>
      <c r="C14" s="472">
        <f t="shared" ref="C14:Q14" ca="1" si="1">SUM(C4:C13)</f>
        <v>15075</v>
      </c>
      <c r="D14" s="472">
        <f t="shared" ca="1" si="1"/>
        <v>17030.42114120517</v>
      </c>
      <c r="E14" s="472">
        <f t="shared" si="1"/>
        <v>3372.8535669799785</v>
      </c>
      <c r="F14" s="472">
        <f t="shared" ca="1" si="1"/>
        <v>47001.815841987896</v>
      </c>
      <c r="G14" s="472">
        <f t="shared" si="1"/>
        <v>31770.95630356095</v>
      </c>
      <c r="H14" s="472">
        <f t="shared" si="1"/>
        <v>6841.5937304407171</v>
      </c>
      <c r="I14" s="472">
        <f t="shared" si="1"/>
        <v>0</v>
      </c>
      <c r="J14" s="472">
        <f t="shared" si="1"/>
        <v>2048.3638060128897</v>
      </c>
      <c r="K14" s="472">
        <f t="shared" si="1"/>
        <v>0</v>
      </c>
      <c r="L14" s="472">
        <f t="shared" ca="1" si="1"/>
        <v>0</v>
      </c>
      <c r="M14" s="472">
        <f t="shared" si="1"/>
        <v>1727.0342453086475</v>
      </c>
      <c r="N14" s="472">
        <f t="shared" ca="1" si="1"/>
        <v>13178.110646481467</v>
      </c>
      <c r="O14" s="472">
        <f t="shared" si="1"/>
        <v>39.083333333333336</v>
      </c>
      <c r="P14" s="473">
        <f t="shared" si="1"/>
        <v>228.8</v>
      </c>
      <c r="Q14" s="473">
        <f t="shared" ca="1" si="1"/>
        <v>179537.89491083231</v>
      </c>
    </row>
    <row r="16" spans="1:17">
      <c r="A16" s="475" t="s">
        <v>574</v>
      </c>
      <c r="B16" s="829">
        <f ca="1">huishoudens!B10</f>
        <v>0.1442600809773128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2278.1699490885558</v>
      </c>
      <c r="C21" s="462">
        <f t="shared" ref="C21:C28" ca="1" si="3">C4*$C$16</f>
        <v>0</v>
      </c>
      <c r="D21" s="462">
        <f t="shared" ref="D21:D30" si="4">D4*$D$16</f>
        <v>2505.6034501520007</v>
      </c>
      <c r="E21" s="462">
        <f t="shared" ref="E21:E30" si="5">E4*$E$16</f>
        <v>704.8981370439077</v>
      </c>
      <c r="F21" s="462">
        <f t="shared" ref="F21:F28" si="6">F4*$F$16</f>
        <v>10345.033783947812</v>
      </c>
      <c r="G21" s="462">
        <f t="shared" ref="G21:G30" si="7">G4*$G$16</f>
        <v>0</v>
      </c>
      <c r="H21" s="462">
        <f t="shared" ref="H21:H30" si="8">H4*$H$16</f>
        <v>0</v>
      </c>
      <c r="I21" s="462">
        <f t="shared" ref="I21:I28" si="9">I4*$I$16</f>
        <v>0</v>
      </c>
      <c r="J21" s="462">
        <f t="shared" ref="J21:J28" si="10">J4*$J$16</f>
        <v>650.1629473758079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16483.868267608086</v>
      </c>
    </row>
    <row r="22" spans="1:17">
      <c r="A22" s="461" t="s">
        <v>156</v>
      </c>
      <c r="B22" s="462">
        <f t="shared" ca="1" si="2"/>
        <v>3232.6083137755777</v>
      </c>
      <c r="C22" s="462">
        <f t="shared" ca="1" si="3"/>
        <v>0</v>
      </c>
      <c r="D22" s="462">
        <f t="shared" ca="1" si="4"/>
        <v>841.43137289200013</v>
      </c>
      <c r="E22" s="462">
        <f t="shared" si="5"/>
        <v>16.119947830517489</v>
      </c>
      <c r="F22" s="462">
        <f t="shared" ca="1" si="6"/>
        <v>593.90692429167939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4684.0665587897747</v>
      </c>
    </row>
    <row r="23" spans="1:17">
      <c r="A23" s="461" t="s">
        <v>194</v>
      </c>
      <c r="B23" s="462">
        <f t="shared" ca="1" si="2"/>
        <v>82.848853025432703</v>
      </c>
      <c r="C23" s="462"/>
      <c r="D23" s="462"/>
      <c r="E23" s="462"/>
      <c r="F23" s="462"/>
      <c r="G23" s="462"/>
      <c r="H23" s="462"/>
      <c r="I23" s="462"/>
      <c r="J23" s="462"/>
      <c r="K23" s="462"/>
      <c r="L23" s="462"/>
      <c r="M23" s="462"/>
      <c r="N23" s="462"/>
      <c r="O23" s="462"/>
      <c r="P23" s="463"/>
      <c r="Q23" s="461">
        <f t="shared" ca="1" si="17"/>
        <v>82.848853025432703</v>
      </c>
    </row>
    <row r="24" spans="1:17">
      <c r="A24" s="461" t="s">
        <v>112</v>
      </c>
      <c r="B24" s="462">
        <f t="shared" ca="1" si="2"/>
        <v>246.14217630664922</v>
      </c>
      <c r="C24" s="462">
        <f t="shared" ca="1" si="3"/>
        <v>0</v>
      </c>
      <c r="D24" s="462">
        <f t="shared" si="4"/>
        <v>22.614978276000002</v>
      </c>
      <c r="E24" s="462">
        <f t="shared" si="5"/>
        <v>3.6487786136622549</v>
      </c>
      <c r="F24" s="462">
        <f t="shared" si="6"/>
        <v>1486.6624368344224</v>
      </c>
      <c r="G24" s="462">
        <f t="shared" si="7"/>
        <v>0</v>
      </c>
      <c r="H24" s="462">
        <f t="shared" si="8"/>
        <v>0</v>
      </c>
      <c r="I24" s="462">
        <f t="shared" si="9"/>
        <v>0</v>
      </c>
      <c r="J24" s="462">
        <f t="shared" si="10"/>
        <v>74.718802459495237</v>
      </c>
      <c r="K24" s="462">
        <f t="shared" si="11"/>
        <v>0</v>
      </c>
      <c r="L24" s="462">
        <f t="shared" si="12"/>
        <v>0</v>
      </c>
      <c r="M24" s="462">
        <f t="shared" si="13"/>
        <v>0</v>
      </c>
      <c r="N24" s="462">
        <f t="shared" si="14"/>
        <v>0</v>
      </c>
      <c r="O24" s="462">
        <f t="shared" si="15"/>
        <v>0</v>
      </c>
      <c r="P24" s="463">
        <f t="shared" si="16"/>
        <v>0</v>
      </c>
      <c r="Q24" s="461">
        <f t="shared" ca="1" si="17"/>
        <v>1833.7871724902291</v>
      </c>
    </row>
    <row r="25" spans="1:17">
      <c r="A25" s="461" t="s">
        <v>685</v>
      </c>
      <c r="B25" s="462">
        <f t="shared" ca="1" si="2"/>
        <v>107.05857981504533</v>
      </c>
      <c r="C25" s="462">
        <f t="shared" ca="1" si="3"/>
        <v>0</v>
      </c>
      <c r="D25" s="462">
        <f t="shared" si="4"/>
        <v>69.861933108000002</v>
      </c>
      <c r="E25" s="462">
        <f t="shared" si="5"/>
        <v>1.1375545694540179</v>
      </c>
      <c r="F25" s="462">
        <f t="shared" si="6"/>
        <v>123.88168473685587</v>
      </c>
      <c r="G25" s="462">
        <f t="shared" si="7"/>
        <v>0</v>
      </c>
      <c r="H25" s="462">
        <f t="shared" si="8"/>
        <v>0</v>
      </c>
      <c r="I25" s="462">
        <f t="shared" si="9"/>
        <v>0</v>
      </c>
      <c r="J25" s="462">
        <f t="shared" si="10"/>
        <v>0.23903749325977011</v>
      </c>
      <c r="K25" s="462">
        <f t="shared" si="11"/>
        <v>0</v>
      </c>
      <c r="L25" s="462">
        <f t="shared" si="12"/>
        <v>0</v>
      </c>
      <c r="M25" s="462">
        <f t="shared" si="13"/>
        <v>0</v>
      </c>
      <c r="N25" s="462">
        <f t="shared" si="14"/>
        <v>0</v>
      </c>
      <c r="O25" s="462">
        <f t="shared" si="15"/>
        <v>0</v>
      </c>
      <c r="P25" s="463">
        <f t="shared" si="16"/>
        <v>0</v>
      </c>
      <c r="Q25" s="461">
        <f t="shared" ca="1" si="17"/>
        <v>302.17878972261502</v>
      </c>
    </row>
    <row r="26" spans="1:17" s="467" customFormat="1">
      <c r="A26" s="465" t="s">
        <v>579</v>
      </c>
      <c r="B26" s="823">
        <f t="shared" ca="1" si="2"/>
        <v>0.12984093823484932</v>
      </c>
      <c r="C26" s="466"/>
      <c r="D26" s="466">
        <f t="shared" si="4"/>
        <v>0.63333609544408254</v>
      </c>
      <c r="E26" s="466">
        <f t="shared" si="5"/>
        <v>39.833341646913659</v>
      </c>
      <c r="F26" s="466"/>
      <c r="G26" s="466">
        <f t="shared" si="7"/>
        <v>8186.7289185309837</v>
      </c>
      <c r="H26" s="466">
        <f t="shared" si="8"/>
        <v>1703.5568388797385</v>
      </c>
      <c r="I26" s="466"/>
      <c r="J26" s="466"/>
      <c r="K26" s="466"/>
      <c r="L26" s="466"/>
      <c r="M26" s="466">
        <f t="shared" si="13"/>
        <v>0</v>
      </c>
      <c r="N26" s="466"/>
      <c r="O26" s="466"/>
      <c r="P26" s="477"/>
      <c r="Q26" s="465">
        <f t="shared" ca="1" si="17"/>
        <v>9930.8822760913154</v>
      </c>
    </row>
    <row r="27" spans="1:17">
      <c r="A27" s="461" t="s">
        <v>569</v>
      </c>
      <c r="B27" s="462">
        <f t="shared" ca="1" si="2"/>
        <v>0</v>
      </c>
      <c r="C27" s="462"/>
      <c r="D27" s="466">
        <f t="shared" si="4"/>
        <v>0</v>
      </c>
      <c r="E27" s="462"/>
      <c r="F27" s="462"/>
      <c r="G27" s="462">
        <f t="shared" si="7"/>
        <v>296.11641451978994</v>
      </c>
      <c r="H27" s="462"/>
      <c r="I27" s="462"/>
      <c r="J27" s="462"/>
      <c r="K27" s="462"/>
      <c r="L27" s="462"/>
      <c r="M27" s="462">
        <f t="shared" si="13"/>
        <v>0</v>
      </c>
      <c r="N27" s="462"/>
      <c r="O27" s="462"/>
      <c r="P27" s="463"/>
      <c r="Q27" s="461">
        <f t="shared" ca="1" si="17"/>
        <v>296.11641451978994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5946.9577129494955</v>
      </c>
      <c r="C31" s="472">
        <f t="shared" ca="1" si="18"/>
        <v>0</v>
      </c>
      <c r="D31" s="472">
        <f t="shared" ca="1" si="18"/>
        <v>3440.1450705234447</v>
      </c>
      <c r="E31" s="472">
        <f t="shared" si="18"/>
        <v>765.63775970445511</v>
      </c>
      <c r="F31" s="472">
        <f t="shared" ca="1" si="18"/>
        <v>12549.48482981077</v>
      </c>
      <c r="G31" s="472">
        <f t="shared" si="18"/>
        <v>8482.8453330507728</v>
      </c>
      <c r="H31" s="472">
        <f t="shared" si="18"/>
        <v>1703.5568388797385</v>
      </c>
      <c r="I31" s="472">
        <f t="shared" si="18"/>
        <v>0</v>
      </c>
      <c r="J31" s="472">
        <f t="shared" si="18"/>
        <v>725.12078732856287</v>
      </c>
      <c r="K31" s="472">
        <f t="shared" si="18"/>
        <v>0</v>
      </c>
      <c r="L31" s="472">
        <f t="shared" ca="1" si="18"/>
        <v>0</v>
      </c>
      <c r="M31" s="472">
        <f t="shared" si="18"/>
        <v>0</v>
      </c>
      <c r="N31" s="472">
        <f t="shared" ca="1" si="18"/>
        <v>0</v>
      </c>
      <c r="O31" s="472">
        <f t="shared" si="18"/>
        <v>0</v>
      </c>
      <c r="P31" s="473">
        <f t="shared" si="18"/>
        <v>0</v>
      </c>
      <c r="Q31" s="473">
        <f t="shared" ca="1" si="18"/>
        <v>33613.748332247247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0.1442600809773128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0.1442600809773128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0.1442600809773128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24130</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3383</v>
      </c>
      <c r="C9" s="338">
        <v>3697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2950</v>
      </c>
    </row>
    <row r="15" spans="1:6">
      <c r="A15" s="1260" t="s">
        <v>184</v>
      </c>
      <c r="B15" s="335">
        <v>1810</v>
      </c>
    </row>
    <row r="16" spans="1:6">
      <c r="A16" s="1260" t="s">
        <v>6</v>
      </c>
      <c r="B16" s="335">
        <v>27</v>
      </c>
    </row>
    <row r="17" spans="1:6">
      <c r="A17" s="1260" t="s">
        <v>7</v>
      </c>
      <c r="B17" s="335">
        <v>370</v>
      </c>
    </row>
    <row r="18" spans="1:6">
      <c r="A18" s="1260" t="s">
        <v>8</v>
      </c>
      <c r="B18" s="335">
        <v>300</v>
      </c>
    </row>
    <row r="19" spans="1:6">
      <c r="A19" s="1260" t="s">
        <v>9</v>
      </c>
      <c r="B19" s="335">
        <v>217</v>
      </c>
    </row>
    <row r="20" spans="1:6">
      <c r="A20" s="1260" t="s">
        <v>10</v>
      </c>
      <c r="B20" s="335">
        <v>501</v>
      </c>
    </row>
    <row r="21" spans="1:6">
      <c r="A21" s="1260" t="s">
        <v>11</v>
      </c>
      <c r="B21" s="335">
        <v>2856</v>
      </c>
    </row>
    <row r="22" spans="1:6">
      <c r="A22" s="1260" t="s">
        <v>12</v>
      </c>
      <c r="B22" s="335">
        <v>4584</v>
      </c>
    </row>
    <row r="23" spans="1:6">
      <c r="A23" s="1260" t="s">
        <v>13</v>
      </c>
      <c r="B23" s="335">
        <v>30</v>
      </c>
    </row>
    <row r="24" spans="1:6">
      <c r="A24" s="1260" t="s">
        <v>14</v>
      </c>
      <c r="B24" s="335">
        <v>2</v>
      </c>
    </row>
    <row r="25" spans="1:6">
      <c r="A25" s="1260" t="s">
        <v>15</v>
      </c>
      <c r="B25" s="335">
        <v>348</v>
      </c>
    </row>
    <row r="26" spans="1:6">
      <c r="A26" s="1260" t="s">
        <v>16</v>
      </c>
      <c r="B26" s="335">
        <v>172</v>
      </c>
    </row>
    <row r="27" spans="1:6">
      <c r="A27" s="1260" t="s">
        <v>17</v>
      </c>
      <c r="B27" s="335">
        <v>0</v>
      </c>
    </row>
    <row r="28" spans="1:6" s="341" customFormat="1">
      <c r="A28" s="1261" t="s">
        <v>18</v>
      </c>
      <c r="B28" s="1261">
        <v>74820</v>
      </c>
    </row>
    <row r="29" spans="1:6">
      <c r="A29" s="1261" t="s">
        <v>910</v>
      </c>
      <c r="B29" s="1261">
        <v>203</v>
      </c>
      <c r="C29" s="341"/>
      <c r="D29" s="341"/>
      <c r="E29" s="341"/>
      <c r="F29" s="341"/>
    </row>
    <row r="30" spans="1:6">
      <c r="A30" s="1256" t="s">
        <v>911</v>
      </c>
      <c r="B30" s="1256">
        <v>23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6</v>
      </c>
      <c r="F36" s="335">
        <v>90624</v>
      </c>
    </row>
    <row r="37" spans="1:6">
      <c r="A37" s="1260" t="s">
        <v>25</v>
      </c>
      <c r="B37" s="1260" t="s">
        <v>28</v>
      </c>
      <c r="C37" s="335">
        <v>0</v>
      </c>
      <c r="D37" s="335">
        <v>0</v>
      </c>
      <c r="E37" s="335">
        <v>0</v>
      </c>
      <c r="F37" s="335">
        <v>0</v>
      </c>
    </row>
    <row r="38" spans="1:6">
      <c r="A38" s="1260" t="s">
        <v>25</v>
      </c>
      <c r="B38" s="1260" t="s">
        <v>29</v>
      </c>
      <c r="C38" s="335">
        <v>0</v>
      </c>
      <c r="D38" s="335">
        <v>0</v>
      </c>
      <c r="E38" s="335">
        <v>1</v>
      </c>
      <c r="F38" s="335">
        <v>24323</v>
      </c>
    </row>
    <row r="39" spans="1:6">
      <c r="A39" s="1260" t="s">
        <v>30</v>
      </c>
      <c r="B39" s="1260" t="s">
        <v>31</v>
      </c>
      <c r="C39" s="335">
        <v>806</v>
      </c>
      <c r="D39" s="335">
        <v>13751638</v>
      </c>
      <c r="E39" s="335">
        <v>3323</v>
      </c>
      <c r="F39" s="335">
        <v>13752938</v>
      </c>
    </row>
    <row r="40" spans="1:6">
      <c r="A40" s="1260" t="s">
        <v>30</v>
      </c>
      <c r="B40" s="1260" t="s">
        <v>29</v>
      </c>
      <c r="C40" s="335">
        <v>0</v>
      </c>
      <c r="D40" s="335">
        <v>0</v>
      </c>
      <c r="E40" s="335">
        <v>0</v>
      </c>
      <c r="F40" s="335">
        <v>0</v>
      </c>
    </row>
    <row r="41" spans="1:6">
      <c r="A41" s="1260" t="s">
        <v>32</v>
      </c>
      <c r="B41" s="1260" t="s">
        <v>33</v>
      </c>
      <c r="C41" s="335">
        <v>15</v>
      </c>
      <c r="D41" s="335">
        <v>340199</v>
      </c>
      <c r="E41" s="335">
        <v>57</v>
      </c>
      <c r="F41" s="335">
        <v>553330</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4</v>
      </c>
      <c r="F44" s="335">
        <v>30169</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2</v>
      </c>
      <c r="D48" s="335">
        <v>43228</v>
      </c>
      <c r="E48" s="335">
        <v>4</v>
      </c>
      <c r="F48" s="335">
        <v>25385</v>
      </c>
    </row>
    <row r="49" spans="1:6">
      <c r="A49" s="1260" t="s">
        <v>32</v>
      </c>
      <c r="B49" s="1260" t="s">
        <v>40</v>
      </c>
      <c r="C49" s="335">
        <v>0</v>
      </c>
      <c r="D49" s="335">
        <v>0</v>
      </c>
      <c r="E49" s="335">
        <v>0</v>
      </c>
      <c r="F49" s="335">
        <v>0</v>
      </c>
    </row>
    <row r="50" spans="1:6">
      <c r="A50" s="1260" t="s">
        <v>32</v>
      </c>
      <c r="B50" s="1260" t="s">
        <v>41</v>
      </c>
      <c r="C50" s="335">
        <v>0</v>
      </c>
      <c r="D50" s="335">
        <v>0</v>
      </c>
      <c r="E50" s="335">
        <v>8</v>
      </c>
      <c r="F50" s="335">
        <v>133238</v>
      </c>
    </row>
    <row r="51" spans="1:6">
      <c r="A51" s="1260" t="s">
        <v>42</v>
      </c>
      <c r="B51" s="1260" t="s">
        <v>43</v>
      </c>
      <c r="C51" s="335">
        <v>6</v>
      </c>
      <c r="D51" s="335">
        <v>124119</v>
      </c>
      <c r="E51" s="335">
        <v>78</v>
      </c>
      <c r="F51" s="335">
        <v>1706239</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1</v>
      </c>
      <c r="F54" s="335">
        <v>574302</v>
      </c>
    </row>
    <row r="55" spans="1:6">
      <c r="A55" s="1260" t="s">
        <v>46</v>
      </c>
      <c r="B55" s="1260" t="s">
        <v>29</v>
      </c>
      <c r="C55" s="335">
        <v>0</v>
      </c>
      <c r="D55" s="335">
        <v>0</v>
      </c>
      <c r="E55" s="335">
        <v>0</v>
      </c>
      <c r="F55" s="335">
        <v>0</v>
      </c>
    </row>
    <row r="56" spans="1:6">
      <c r="A56" s="1260" t="s">
        <v>48</v>
      </c>
      <c r="B56" s="1260" t="s">
        <v>29</v>
      </c>
      <c r="C56" s="335">
        <v>20</v>
      </c>
      <c r="D56" s="335">
        <v>1536713</v>
      </c>
      <c r="E56" s="335">
        <v>69</v>
      </c>
      <c r="F56" s="335">
        <v>370362</v>
      </c>
    </row>
    <row r="57" spans="1:6">
      <c r="A57" s="1260" t="s">
        <v>49</v>
      </c>
      <c r="B57" s="1260" t="s">
        <v>50</v>
      </c>
      <c r="C57" s="335">
        <v>5</v>
      </c>
      <c r="D57" s="335">
        <v>83960</v>
      </c>
      <c r="E57" s="335">
        <v>53</v>
      </c>
      <c r="F57" s="335">
        <v>2304729</v>
      </c>
    </row>
    <row r="58" spans="1:6">
      <c r="A58" s="1260" t="s">
        <v>49</v>
      </c>
      <c r="B58" s="1260" t="s">
        <v>51</v>
      </c>
      <c r="C58" s="335">
        <v>3</v>
      </c>
      <c r="D58" s="335">
        <v>976285</v>
      </c>
      <c r="E58" s="335">
        <v>7</v>
      </c>
      <c r="F58" s="335">
        <v>473645</v>
      </c>
    </row>
    <row r="59" spans="1:6">
      <c r="A59" s="1260" t="s">
        <v>49</v>
      </c>
      <c r="B59" s="1260" t="s">
        <v>52</v>
      </c>
      <c r="C59" s="335">
        <v>24</v>
      </c>
      <c r="D59" s="335">
        <v>548052</v>
      </c>
      <c r="E59" s="335">
        <v>85</v>
      </c>
      <c r="F59" s="335">
        <v>2009495</v>
      </c>
    </row>
    <row r="60" spans="1:6">
      <c r="A60" s="1260" t="s">
        <v>49</v>
      </c>
      <c r="B60" s="1260" t="s">
        <v>53</v>
      </c>
      <c r="C60" s="335">
        <v>13</v>
      </c>
      <c r="D60" s="335">
        <v>591961</v>
      </c>
      <c r="E60" s="335">
        <v>27</v>
      </c>
      <c r="F60" s="335">
        <v>588368</v>
      </c>
    </row>
    <row r="61" spans="1:6">
      <c r="A61" s="1260" t="s">
        <v>49</v>
      </c>
      <c r="B61" s="1260" t="s">
        <v>54</v>
      </c>
      <c r="C61" s="335">
        <v>30</v>
      </c>
      <c r="D61" s="335">
        <v>2311820</v>
      </c>
      <c r="E61" s="335">
        <v>87</v>
      </c>
      <c r="F61" s="335">
        <v>6187792</v>
      </c>
    </row>
    <row r="62" spans="1:6">
      <c r="A62" s="1260" t="s">
        <v>49</v>
      </c>
      <c r="B62" s="1260" t="s">
        <v>55</v>
      </c>
      <c r="C62" s="335">
        <v>0</v>
      </c>
      <c r="D62" s="335">
        <v>0</v>
      </c>
      <c r="E62" s="335">
        <v>9</v>
      </c>
      <c r="F62" s="335">
        <v>291668</v>
      </c>
    </row>
    <row r="63" spans="1:6">
      <c r="A63" s="1260" t="s">
        <v>49</v>
      </c>
      <c r="B63" s="1260" t="s">
        <v>29</v>
      </c>
      <c r="C63" s="335">
        <v>2</v>
      </c>
      <c r="D63" s="335">
        <v>105995</v>
      </c>
      <c r="E63" s="335">
        <v>0</v>
      </c>
      <c r="F63" s="335">
        <v>0</v>
      </c>
    </row>
    <row r="64" spans="1:6">
      <c r="A64" s="1260" t="s">
        <v>56</v>
      </c>
      <c r="B64" s="1260" t="s">
        <v>57</v>
      </c>
      <c r="C64" s="335">
        <v>0</v>
      </c>
      <c r="D64" s="335">
        <v>0</v>
      </c>
      <c r="E64" s="335">
        <v>0</v>
      </c>
      <c r="F64" s="335">
        <v>0</v>
      </c>
    </row>
    <row r="65" spans="1:6">
      <c r="A65" s="1260" t="s">
        <v>56</v>
      </c>
      <c r="B65" s="1260" t="s">
        <v>29</v>
      </c>
      <c r="C65" s="335">
        <v>0</v>
      </c>
      <c r="D65" s="335">
        <v>0</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3</v>
      </c>
      <c r="F68" s="335">
        <v>38396</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19805030</v>
      </c>
      <c r="E73" s="335">
        <v>20417929.102013558</v>
      </c>
    </row>
    <row r="74" spans="1:6">
      <c r="A74" s="1260" t="s">
        <v>64</v>
      </c>
      <c r="B74" s="1260" t="s">
        <v>772</v>
      </c>
      <c r="C74" s="1271" t="s">
        <v>766</v>
      </c>
      <c r="D74" s="335">
        <v>1489983.9214155825</v>
      </c>
      <c r="E74" s="335">
        <v>1585752.7603843031</v>
      </c>
    </row>
    <row r="75" spans="1:6">
      <c r="A75" s="1260" t="s">
        <v>65</v>
      </c>
      <c r="B75" s="1260" t="s">
        <v>771</v>
      </c>
      <c r="C75" s="1271" t="s">
        <v>767</v>
      </c>
      <c r="D75" s="335">
        <v>22972839</v>
      </c>
      <c r="E75" s="335">
        <v>23756533.044236626</v>
      </c>
    </row>
    <row r="76" spans="1:6">
      <c r="A76" s="1260" t="s">
        <v>65</v>
      </c>
      <c r="B76" s="1260" t="s">
        <v>772</v>
      </c>
      <c r="C76" s="1271" t="s">
        <v>768</v>
      </c>
      <c r="D76" s="335">
        <v>661172.92141558253</v>
      </c>
      <c r="E76" s="335">
        <v>714591.40027374215</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304608.15716883482</v>
      </c>
      <c r="C83" s="335">
        <v>295237.24432842928</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2039.1642479311815</v>
      </c>
    </row>
    <row r="92" spans="1:6">
      <c r="A92" s="1256" t="s">
        <v>69</v>
      </c>
      <c r="B92" s="338">
        <v>1722.8871292666208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248</v>
      </c>
    </row>
    <row r="98" spans="1:6">
      <c r="A98" s="1260" t="s">
        <v>72</v>
      </c>
      <c r="B98" s="335">
        <v>0</v>
      </c>
    </row>
    <row r="99" spans="1:6">
      <c r="A99" s="1260" t="s">
        <v>73</v>
      </c>
      <c r="B99" s="335">
        <v>43</v>
      </c>
    </row>
    <row r="100" spans="1:6">
      <c r="A100" s="1260" t="s">
        <v>74</v>
      </c>
      <c r="B100" s="335">
        <v>67</v>
      </c>
    </row>
    <row r="101" spans="1:6">
      <c r="A101" s="1260" t="s">
        <v>75</v>
      </c>
      <c r="B101" s="335">
        <v>56</v>
      </c>
    </row>
    <row r="102" spans="1:6">
      <c r="A102" s="1260" t="s">
        <v>76</v>
      </c>
      <c r="B102" s="335">
        <v>47</v>
      </c>
    </row>
    <row r="103" spans="1:6">
      <c r="A103" s="1260" t="s">
        <v>77</v>
      </c>
      <c r="B103" s="335">
        <v>114</v>
      </c>
    </row>
    <row r="104" spans="1:6">
      <c r="A104" s="1260" t="s">
        <v>78</v>
      </c>
      <c r="B104" s="335">
        <v>2465</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6</v>
      </c>
      <c r="C123" s="335">
        <v>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16</v>
      </c>
    </row>
    <row r="130" spans="1:6">
      <c r="A130" s="1260" t="s">
        <v>295</v>
      </c>
      <c r="B130" s="335">
        <v>0</v>
      </c>
    </row>
    <row r="131" spans="1:6">
      <c r="A131" s="1260" t="s">
        <v>296</v>
      </c>
      <c r="B131" s="335">
        <v>0</v>
      </c>
    </row>
    <row r="132" spans="1:6">
      <c r="A132" s="1256" t="s">
        <v>297</v>
      </c>
      <c r="B132" s="338">
        <v>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41223.862295521314</v>
      </c>
      <c r="C3" s="44" t="s">
        <v>170</v>
      </c>
      <c r="D3" s="44"/>
      <c r="E3" s="157"/>
      <c r="F3" s="44"/>
      <c r="G3" s="44"/>
      <c r="H3" s="44"/>
      <c r="I3" s="44"/>
      <c r="J3" s="44"/>
      <c r="K3" s="97"/>
    </row>
    <row r="4" spans="1:11">
      <c r="A4" s="365" t="s">
        <v>171</v>
      </c>
      <c r="B4" s="50">
        <f>IF(ISERROR('SEAP template'!B69),0,'SEAP template'!B69)</f>
        <v>14314.551377197802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0.1442600809773128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15075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574.30200000000002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574.30200000000002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0.1442600809773128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82.848853025432703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13752.938</v>
      </c>
      <c r="C5" s="18">
        <f>IF(ISERROR('Eigen informatie GS &amp; warmtenet'!B57),0,'Eigen informatie GS &amp; warmtenet'!B57)</f>
        <v>0</v>
      </c>
      <c r="D5" s="31">
        <f>(SUM(HH_hh_gas_kWh,HH_rest_gas_kWh)/1000)*0.902</f>
        <v>12403.977476000002</v>
      </c>
      <c r="E5" s="18">
        <f>B46*B57</f>
        <v>3105.2781367573025</v>
      </c>
      <c r="F5" s="18">
        <f>B51*B62</f>
        <v>38745.444883699667</v>
      </c>
      <c r="G5" s="19"/>
      <c r="H5" s="18"/>
      <c r="I5" s="18"/>
      <c r="J5" s="18">
        <f>B50*B61+C50*C61</f>
        <v>1836.6184954118867</v>
      </c>
      <c r="K5" s="18"/>
      <c r="L5" s="18"/>
      <c r="M5" s="18"/>
      <c r="N5" s="18">
        <f>B48*B59+C48*C59</f>
        <v>13133.331652404795</v>
      </c>
      <c r="O5" s="18">
        <f>B69*B70*B71</f>
        <v>39.083333333333336</v>
      </c>
      <c r="P5" s="18">
        <f>B77*B78*B79/1000-B77*B78*B79/1000/B80</f>
        <v>228.8</v>
      </c>
    </row>
    <row r="6" spans="1:16">
      <c r="A6" s="17" t="s">
        <v>639</v>
      </c>
      <c r="B6" s="831">
        <f>kWh_PV_kleiner_dan_10kW</f>
        <v>2039.1642479311815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15792.102247931181</v>
      </c>
      <c r="C8" s="22">
        <f>C5</f>
        <v>0</v>
      </c>
      <c r="D8" s="22">
        <f>D5</f>
        <v>12403.977476000002</v>
      </c>
      <c r="E8" s="22">
        <f>E5</f>
        <v>3105.2781367573025</v>
      </c>
      <c r="F8" s="22">
        <f>F5</f>
        <v>38745.444883699667</v>
      </c>
      <c r="G8" s="22"/>
      <c r="H8" s="22"/>
      <c r="I8" s="22"/>
      <c r="J8" s="22">
        <f>J5</f>
        <v>1836.6184954118867</v>
      </c>
      <c r="K8" s="22"/>
      <c r="L8" s="22">
        <f>L5</f>
        <v>0</v>
      </c>
      <c r="M8" s="22">
        <f>M5</f>
        <v>0</v>
      </c>
      <c r="N8" s="22">
        <f>N5</f>
        <v>13133.331652404795</v>
      </c>
      <c r="O8" s="22">
        <f>O5</f>
        <v>39.083333333333336</v>
      </c>
      <c r="P8" s="22">
        <f>P5</f>
        <v>228.8</v>
      </c>
    </row>
    <row r="9" spans="1:16">
      <c r="B9" s="20"/>
      <c r="C9" s="20"/>
      <c r="D9" s="262"/>
      <c r="E9" s="20"/>
      <c r="F9" s="20"/>
      <c r="G9" s="20"/>
      <c r="H9" s="20"/>
      <c r="I9" s="20"/>
      <c r="J9" s="20"/>
      <c r="K9" s="20"/>
      <c r="L9" s="20"/>
      <c r="M9" s="20"/>
      <c r="N9" s="20"/>
      <c r="O9" s="20"/>
      <c r="P9" s="20"/>
    </row>
    <row r="10" spans="1:16">
      <c r="A10" s="25" t="s">
        <v>214</v>
      </c>
      <c r="B10" s="26">
        <f ca="1">'EF ele_warmte'!B12</f>
        <v>0.1442600809773128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2278.1699490885558</v>
      </c>
      <c r="C12" s="24">
        <f ca="1">C10*C8</f>
        <v>0</v>
      </c>
      <c r="D12" s="24">
        <f>D8*D10</f>
        <v>2505.6034501520007</v>
      </c>
      <c r="E12" s="24">
        <f>E10*E8</f>
        <v>704.8981370439077</v>
      </c>
      <c r="F12" s="24">
        <f>F10*F8</f>
        <v>10345.033783947812</v>
      </c>
      <c r="G12" s="24"/>
      <c r="H12" s="24"/>
      <c r="I12" s="24"/>
      <c r="J12" s="24">
        <f>J10*J8</f>
        <v>650.1629473758079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248</v>
      </c>
      <c r="C18" s="169" t="s">
        <v>111</v>
      </c>
      <c r="D18" s="231"/>
      <c r="E18" s="16"/>
    </row>
    <row r="19" spans="1:7">
      <c r="A19" s="174" t="s">
        <v>72</v>
      </c>
      <c r="B19" s="38">
        <f>aantalw2001_ander</f>
        <v>0</v>
      </c>
      <c r="C19" s="169" t="s">
        <v>111</v>
      </c>
      <c r="D19" s="232"/>
      <c r="E19" s="16"/>
    </row>
    <row r="20" spans="1:7">
      <c r="A20" s="174" t="s">
        <v>73</v>
      </c>
      <c r="B20" s="38">
        <f>aantalw2001_propaan</f>
        <v>43</v>
      </c>
      <c r="C20" s="170">
        <f>IF(ISERROR(B20/SUM($B$20,$B$21,$B$22)*100),0,B20/SUM($B$20,$B$21,$B$22)*100)</f>
        <v>25.903614457831324</v>
      </c>
      <c r="D20" s="232"/>
      <c r="E20" s="16"/>
    </row>
    <row r="21" spans="1:7">
      <c r="A21" s="174" t="s">
        <v>74</v>
      </c>
      <c r="B21" s="38">
        <f>aantalw2001_elektriciteit</f>
        <v>67</v>
      </c>
      <c r="C21" s="170">
        <f>IF(ISERROR(B21/SUM($B$20,$B$21,$B$22)*100),0,B21/SUM($B$20,$B$21,$B$22)*100)</f>
        <v>40.361445783132531</v>
      </c>
      <c r="D21" s="232"/>
      <c r="E21" s="16"/>
    </row>
    <row r="22" spans="1:7">
      <c r="A22" s="174" t="s">
        <v>75</v>
      </c>
      <c r="B22" s="38">
        <f>aantalw2001_hout</f>
        <v>56</v>
      </c>
      <c r="C22" s="170">
        <f>IF(ISERROR(B22/SUM($B$20,$B$21,$B$22)*100),0,B22/SUM($B$20,$B$21,$B$22)*100)</f>
        <v>33.734939759036145</v>
      </c>
      <c r="D22" s="232"/>
      <c r="E22" s="16"/>
    </row>
    <row r="23" spans="1:7">
      <c r="A23" s="174" t="s">
        <v>76</v>
      </c>
      <c r="B23" s="38">
        <f>aantalw2001_niet_gespec</f>
        <v>47</v>
      </c>
      <c r="C23" s="169" t="s">
        <v>111</v>
      </c>
      <c r="D23" s="231"/>
      <c r="E23" s="16"/>
    </row>
    <row r="24" spans="1:7">
      <c r="A24" s="174" t="s">
        <v>77</v>
      </c>
      <c r="B24" s="38">
        <f>aantalw2001_steenkool</f>
        <v>114</v>
      </c>
      <c r="C24" s="169" t="s">
        <v>111</v>
      </c>
      <c r="D24" s="232"/>
      <c r="E24" s="16"/>
    </row>
    <row r="25" spans="1:7">
      <c r="A25" s="174" t="s">
        <v>78</v>
      </c>
      <c r="B25" s="38">
        <f>aantalw2001_stookolie</f>
        <v>2465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3383</v>
      </c>
      <c r="C28" s="37"/>
      <c r="D28" s="231"/>
    </row>
    <row r="29" spans="1:7" s="16" customFormat="1">
      <c r="A29" s="233" t="s">
        <v>666</v>
      </c>
      <c r="B29" s="38">
        <f>SUM(HH_hh_gas_aantal,HH_rest_gas_aantal)</f>
        <v>806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806</v>
      </c>
      <c r="C32" s="170">
        <f>IF(ISERROR(B32/SUM($B$32,$B$34,$B$35,$B$36,$B$38,$B$39)*100),0,B32/SUM($B$32,$B$34,$B$35,$B$36,$B$38,$B$39)*100)</f>
        <v>23.909819044793828</v>
      </c>
      <c r="D32" s="236"/>
      <c r="G32" s="16"/>
    </row>
    <row r="33" spans="1:7">
      <c r="A33" s="174" t="s">
        <v>72</v>
      </c>
      <c r="B33" s="35" t="s">
        <v>111</v>
      </c>
      <c r="C33" s="170"/>
      <c r="D33" s="236"/>
      <c r="G33" s="16"/>
    </row>
    <row r="34" spans="1:7">
      <c r="A34" s="174" t="s">
        <v>73</v>
      </c>
      <c r="B34" s="34">
        <f>IF((($B$28-$B$32-$B$39-$B$77-$B$38)*C20/100)&lt;0,0,($B$28-$B$32-$B$39-$B$77-$B$38)*C20/100)</f>
        <v>140.9156626506024</v>
      </c>
      <c r="C34" s="170">
        <f>IF(ISERROR(B34/SUM($B$32,$B$34,$B$35,$B$36,$B$38,$B$39)*100),0,B34/SUM($B$32,$B$34,$B$35,$B$36,$B$38,$B$39)*100)</f>
        <v>4.1802332438624266</v>
      </c>
      <c r="D34" s="236"/>
      <c r="G34" s="16"/>
    </row>
    <row r="35" spans="1:7">
      <c r="A35" s="174" t="s">
        <v>74</v>
      </c>
      <c r="B35" s="34">
        <f>IF((($B$28-$B$32-$B$39-$B$77-$B$38)*C21/100)&lt;0,0,($B$28-$B$32-$B$39-$B$77-$B$38)*C21/100)</f>
        <v>219.56626506024099</v>
      </c>
      <c r="C35" s="170">
        <f>IF(ISERROR(B35/SUM($B$32,$B$34,$B$35,$B$36,$B$38,$B$39)*100),0,B35/SUM($B$32,$B$34,$B$35,$B$36,$B$38,$B$39)*100)</f>
        <v>6.5133866822972699</v>
      </c>
      <c r="D35" s="236"/>
      <c r="G35" s="16"/>
    </row>
    <row r="36" spans="1:7">
      <c r="A36" s="174" t="s">
        <v>75</v>
      </c>
      <c r="B36" s="34">
        <f>IF((($B$28-$B$32-$B$39-$B$77-$B$38)*C22/100)&lt;0,0,($B$28-$B$32-$B$39-$B$77-$B$38)*C22/100)</f>
        <v>183.51807228915663</v>
      </c>
      <c r="C36" s="170">
        <f>IF(ISERROR(B36/SUM($B$32,$B$34,$B$35,$B$36,$B$38,$B$39)*100),0,B36/SUM($B$32,$B$34,$B$35,$B$36,$B$38,$B$39)*100)</f>
        <v>5.4440246896813003</v>
      </c>
      <c r="D36" s="236"/>
      <c r="G36" s="16"/>
    </row>
    <row r="37" spans="1:7">
      <c r="A37" s="174" t="s">
        <v>76</v>
      </c>
      <c r="B37" s="35" t="s">
        <v>111</v>
      </c>
      <c r="C37" s="170"/>
      <c r="D37" s="176"/>
      <c r="G37" s="16"/>
    </row>
    <row r="38" spans="1:7">
      <c r="A38" s="174" t="s">
        <v>77</v>
      </c>
      <c r="B38" s="34">
        <f>IF((B24-(B29-B18)*0.1)&lt;0,0,B24-(B29-B18)*0.1)</f>
        <v>58.199999999999996</v>
      </c>
      <c r="C38" s="170">
        <f>IF(ISERROR(B38/SUM($B$32,$B$34,$B$35,$B$36,$B$38,$B$39)*100),0,B38/SUM($B$32,$B$34,$B$35,$B$36,$B$38,$B$39)*100)</f>
        <v>1.7264906555918125</v>
      </c>
      <c r="D38" s="237"/>
      <c r="G38" s="16"/>
    </row>
    <row r="39" spans="1:7">
      <c r="A39" s="174" t="s">
        <v>78</v>
      </c>
      <c r="B39" s="34">
        <f>IF((B25-(B29-B18))&lt;0,0,B25-(B29-B18)*0.9)</f>
        <v>1962.8</v>
      </c>
      <c r="C39" s="170">
        <f>IF(ISERROR(B39/SUM($B$32,$B$34,$B$35,$B$36,$B$38,$B$39)*100),0,B39/SUM($B$32,$B$34,$B$35,$B$36,$B$38,$B$39)*100)</f>
        <v>58.226045683773364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806</v>
      </c>
      <c r="C44" s="35" t="s">
        <v>111</v>
      </c>
      <c r="D44" s="177"/>
    </row>
    <row r="45" spans="1:7">
      <c r="A45" s="174" t="s">
        <v>72</v>
      </c>
      <c r="B45" s="34" t="str">
        <f t="shared" si="0"/>
        <v>-</v>
      </c>
      <c r="C45" s="35" t="s">
        <v>111</v>
      </c>
      <c r="D45" s="177"/>
    </row>
    <row r="46" spans="1:7">
      <c r="A46" s="174" t="s">
        <v>73</v>
      </c>
      <c r="B46" s="34">
        <f t="shared" si="0"/>
        <v>140.9156626506024</v>
      </c>
      <c r="C46" s="35" t="s">
        <v>111</v>
      </c>
      <c r="D46" s="177"/>
    </row>
    <row r="47" spans="1:7">
      <c r="A47" s="174" t="s">
        <v>74</v>
      </c>
      <c r="B47" s="34">
        <f t="shared" si="0"/>
        <v>219.56626506024099</v>
      </c>
      <c r="C47" s="35" t="s">
        <v>111</v>
      </c>
      <c r="D47" s="177"/>
    </row>
    <row r="48" spans="1:7">
      <c r="A48" s="174" t="s">
        <v>75</v>
      </c>
      <c r="B48" s="34">
        <f t="shared" si="0"/>
        <v>183.51807228915663</v>
      </c>
      <c r="C48" s="34">
        <f>B48*10</f>
        <v>1835.1807228915663</v>
      </c>
      <c r="D48" s="237"/>
    </row>
    <row r="49" spans="1:6">
      <c r="A49" s="174" t="s">
        <v>76</v>
      </c>
      <c r="B49" s="34" t="str">
        <f t="shared" si="0"/>
        <v>-</v>
      </c>
      <c r="C49" s="35" t="s">
        <v>111</v>
      </c>
      <c r="D49" s="237"/>
    </row>
    <row r="50" spans="1:6">
      <c r="A50" s="174" t="s">
        <v>77</v>
      </c>
      <c r="B50" s="34">
        <f t="shared" si="0"/>
        <v>58.199999999999996</v>
      </c>
      <c r="C50" s="34">
        <f>B50*2</f>
        <v>116.39999999999999</v>
      </c>
      <c r="D50" s="237"/>
    </row>
    <row r="51" spans="1:6">
      <c r="A51" s="174" t="s">
        <v>78</v>
      </c>
      <c r="B51" s="34">
        <f t="shared" si="0"/>
        <v>1962.8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11855.697</v>
      </c>
      <c r="C5" s="18">
        <f>IF(ISERROR('Eigen informatie GS &amp; warmtenet'!B58),0,'Eigen informatie GS &amp; warmtenet'!B58)</f>
        <v>0</v>
      </c>
      <c r="D5" s="31">
        <f>SUM(D6:D12)</f>
        <v>4165.5018460000001</v>
      </c>
      <c r="E5" s="18">
        <f>SUM(E6:E12)</f>
        <v>71.012986037521983</v>
      </c>
      <c r="F5" s="18">
        <f>SUM(F6:F12)</f>
        <v>2224.3705029650914</v>
      </c>
      <c r="G5" s="19"/>
      <c r="H5" s="18"/>
      <c r="I5" s="18"/>
      <c r="J5" s="18">
        <f>SUM(J6:J12)</f>
        <v>0</v>
      </c>
      <c r="K5" s="18"/>
      <c r="L5" s="18"/>
      <c r="M5" s="18"/>
      <c r="N5" s="18">
        <f>SUM(N6:N12)</f>
        <v>1345.8608213520592</v>
      </c>
      <c r="O5" s="18">
        <f>B38*B39*B40</f>
        <v>0</v>
      </c>
      <c r="P5" s="18">
        <f>B46*B47*B48/1000-B46*B47*B48/1000/B49</f>
        <v>0</v>
      </c>
      <c r="R5" s="33"/>
    </row>
    <row r="6" spans="1:18">
      <c r="A6" s="33" t="s">
        <v>54</v>
      </c>
      <c r="B6" s="38">
        <f>B26</f>
        <v>6187.7920000000004</v>
      </c>
      <c r="C6" s="34"/>
      <c r="D6" s="38">
        <f>IF(ISERROR(TER_kantoor_gas_kWh/1000),0,TER_kantoor_gas_kWh/1000)*0.902</f>
        <v>2085.2616400000002</v>
      </c>
      <c r="E6" s="34">
        <f>$C$26*'E Balans VL '!I12/100/3.6*1000000</f>
        <v>10.155420787996908</v>
      </c>
      <c r="F6" s="34">
        <f>$C$26*('E Balans VL '!L12+'E Balans VL '!N12)/100/3.6*1000000</f>
        <v>729.39508596048415</v>
      </c>
      <c r="G6" s="35"/>
      <c r="H6" s="34"/>
      <c r="I6" s="34"/>
      <c r="J6" s="34">
        <f>$C$26*('E Balans VL '!D12+'E Balans VL '!E12)/100/3.6*1000000</f>
        <v>0</v>
      </c>
      <c r="K6" s="34"/>
      <c r="L6" s="34"/>
      <c r="M6" s="34"/>
      <c r="N6" s="34">
        <f>$C$26*'E Balans VL '!Y12/100/3.6*1000000</f>
        <v>1.2502140720060346</v>
      </c>
      <c r="O6" s="34"/>
      <c r="P6" s="34"/>
      <c r="R6" s="33"/>
    </row>
    <row r="7" spans="1:18">
      <c r="A7" s="33" t="s">
        <v>53</v>
      </c>
      <c r="B7" s="38">
        <f t="shared" ref="B7:B12" si="0">B27</f>
        <v>588.36800000000005</v>
      </c>
      <c r="C7" s="34"/>
      <c r="D7" s="38">
        <f>IF(ISERROR(TER_horeca_gas_kWh/1000),0,TER_horeca_gas_kWh/1000)*0.902</f>
        <v>533.94882200000006</v>
      </c>
      <c r="E7" s="34">
        <f>$C$27*'E Balans VL '!I9/100/3.6*1000000</f>
        <v>30.532041678044429</v>
      </c>
      <c r="F7" s="34">
        <f>$C$27*('E Balans VL '!L9+'E Balans VL '!N9)/100/3.6*1000000</f>
        <v>134.26600452193671</v>
      </c>
      <c r="G7" s="35"/>
      <c r="H7" s="34"/>
      <c r="I7" s="34"/>
      <c r="J7" s="34">
        <f>$C$27*('E Balans VL '!D9+'E Balans VL '!E9)/100/3.6*1000000</f>
        <v>0</v>
      </c>
      <c r="K7" s="34"/>
      <c r="L7" s="34"/>
      <c r="M7" s="34"/>
      <c r="N7" s="34">
        <f>$C$27*'E Balans VL '!Y9/100/3.6*1000000</f>
        <v>6.2131391168600697E-2</v>
      </c>
      <c r="O7" s="34"/>
      <c r="P7" s="34"/>
      <c r="R7" s="33"/>
    </row>
    <row r="8" spans="1:18">
      <c r="A8" s="6" t="s">
        <v>52</v>
      </c>
      <c r="B8" s="38">
        <f t="shared" si="0"/>
        <v>2009.4949999999999</v>
      </c>
      <c r="C8" s="34"/>
      <c r="D8" s="38">
        <f>IF(ISERROR(TER_handel_gas_kWh/1000),0,TER_handel_gas_kWh/1000)*0.902</f>
        <v>494.34290400000003</v>
      </c>
      <c r="E8" s="34">
        <f>$C$28*'E Balans VL '!I13/100/3.6*1000000</f>
        <v>10.821377509115303</v>
      </c>
      <c r="F8" s="34">
        <f>$C$28*('E Balans VL '!L13+'E Balans VL '!N13)/100/3.6*1000000</f>
        <v>409.79574731289995</v>
      </c>
      <c r="G8" s="35"/>
      <c r="H8" s="34"/>
      <c r="I8" s="34"/>
      <c r="J8" s="34">
        <f>$C$28*('E Balans VL '!D13+'E Balans VL '!E13)/100/3.6*1000000</f>
        <v>0</v>
      </c>
      <c r="K8" s="34"/>
      <c r="L8" s="34"/>
      <c r="M8" s="34"/>
      <c r="N8" s="34">
        <f>$C$28*'E Balans VL '!Y13/100/3.6*1000000</f>
        <v>9.9921574510940356</v>
      </c>
      <c r="O8" s="34"/>
      <c r="P8" s="34"/>
      <c r="R8" s="33"/>
    </row>
    <row r="9" spans="1:18">
      <c r="A9" s="33" t="s">
        <v>51</v>
      </c>
      <c r="B9" s="38">
        <f t="shared" si="0"/>
        <v>473.64499999999998</v>
      </c>
      <c r="C9" s="34"/>
      <c r="D9" s="38">
        <f>IF(ISERROR(TER_gezond_gas_kWh/1000),0,TER_gezond_gas_kWh/1000)*0.902</f>
        <v>880.60906999999997</v>
      </c>
      <c r="E9" s="34">
        <f>$C$29*'E Balans VL '!I10/100/3.6*1000000</f>
        <v>0.46938758126864832</v>
      </c>
      <c r="F9" s="34">
        <f>$C$29*('E Balans VL '!L10+'E Balans VL '!N10)/100/3.6*1000000</f>
        <v>164.34116270663651</v>
      </c>
      <c r="G9" s="35"/>
      <c r="H9" s="34"/>
      <c r="I9" s="34"/>
      <c r="J9" s="34">
        <f>$C$29*('E Balans VL '!D10+'E Balans VL '!E10)/100/3.6*1000000</f>
        <v>0</v>
      </c>
      <c r="K9" s="34"/>
      <c r="L9" s="34"/>
      <c r="M9" s="34"/>
      <c r="N9" s="34">
        <f>$C$29*'E Balans VL '!Y10/100/3.6*1000000</f>
        <v>4.0813579333303682</v>
      </c>
      <c r="O9" s="34"/>
      <c r="P9" s="34"/>
      <c r="R9" s="33"/>
    </row>
    <row r="10" spans="1:18">
      <c r="A10" s="33" t="s">
        <v>50</v>
      </c>
      <c r="B10" s="38">
        <f t="shared" si="0"/>
        <v>2304.7289999999998</v>
      </c>
      <c r="C10" s="34"/>
      <c r="D10" s="38">
        <f>IF(ISERROR(TER_ander_gas_kWh/1000),0,TER_ander_gas_kWh/1000)*0.902</f>
        <v>75.731920000000002</v>
      </c>
      <c r="E10" s="34">
        <f>$C$30*'E Balans VL '!I14/100/3.6*1000000</f>
        <v>18.854986632591434</v>
      </c>
      <c r="F10" s="34">
        <f>$C$30*('E Balans VL '!L14+'E Balans VL '!N14)/100/3.6*1000000</f>
        <v>673.80893019632447</v>
      </c>
      <c r="G10" s="35"/>
      <c r="H10" s="34"/>
      <c r="I10" s="34"/>
      <c r="J10" s="34">
        <f>$C$30*('E Balans VL '!D14+'E Balans VL '!E14)/100/3.6*1000000</f>
        <v>0</v>
      </c>
      <c r="K10" s="34"/>
      <c r="L10" s="34"/>
      <c r="M10" s="34"/>
      <c r="N10" s="34">
        <f>$C$30*'E Balans VL '!Y14/100/3.6*1000000</f>
        <v>1329.526227003578</v>
      </c>
      <c r="O10" s="34"/>
      <c r="P10" s="34"/>
      <c r="R10" s="33"/>
    </row>
    <row r="11" spans="1:18">
      <c r="A11" s="33" t="s">
        <v>55</v>
      </c>
      <c r="B11" s="38">
        <f t="shared" si="0"/>
        <v>291.66800000000001</v>
      </c>
      <c r="C11" s="34"/>
      <c r="D11" s="38">
        <f>IF(ISERROR(TER_onderwijs_gas_kWh/1000),0,TER_onderwijs_gas_kWh/1000)*0.902</f>
        <v>0</v>
      </c>
      <c r="E11" s="34">
        <f>$C$31*'E Balans VL '!I11/100/3.6*1000000</f>
        <v>0.17977184850524897</v>
      </c>
      <c r="F11" s="34">
        <f>$C$31*('E Balans VL '!L11+'E Balans VL '!N11)/100/3.6*1000000</f>
        <v>112.76357226680969</v>
      </c>
      <c r="G11" s="35"/>
      <c r="H11" s="34"/>
      <c r="I11" s="34"/>
      <c r="J11" s="34">
        <f>$C$31*('E Balans VL '!D11+'E Balans VL '!E11)/100/3.6*1000000</f>
        <v>0</v>
      </c>
      <c r="K11" s="34"/>
      <c r="L11" s="34"/>
      <c r="M11" s="34"/>
      <c r="N11" s="34">
        <f>$C$31*'E Balans VL '!Y11/100/3.6*1000000</f>
        <v>0.94873350088213171</v>
      </c>
      <c r="O11" s="34"/>
      <c r="P11" s="34"/>
      <c r="R11" s="33"/>
    </row>
    <row r="12" spans="1:18">
      <c r="A12" s="33" t="s">
        <v>260</v>
      </c>
      <c r="B12" s="38">
        <f t="shared" si="0"/>
        <v>0</v>
      </c>
      <c r="C12" s="34"/>
      <c r="D12" s="38">
        <f>IF(ISERROR(TER_rest_gas_kWh/1000),0,TER_rest_gas_kWh/1000)*0.902</f>
        <v>95.607490000000013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10552.5</v>
      </c>
      <c r="C13" s="250">
        <f ca="1">'lokale energieproductie'!O90+'lokale energieproductie'!O59</f>
        <v>15075</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-30150.000000000004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22408.197</v>
      </c>
      <c r="C16" s="22">
        <f t="shared" ca="1" si="1"/>
        <v>15075</v>
      </c>
      <c r="D16" s="22">
        <f t="shared" ca="1" si="1"/>
        <v>4165.5018460000001</v>
      </c>
      <c r="E16" s="22">
        <f t="shared" si="1"/>
        <v>71.012986037521983</v>
      </c>
      <c r="F16" s="22">
        <f t="shared" ca="1" si="1"/>
        <v>2224.3705029650914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0.1442600809773128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3232.6083137755777</v>
      </c>
      <c r="C20" s="24">
        <f t="shared" ref="C20:P20" ca="1" si="2">C16*C18</f>
        <v>0</v>
      </c>
      <c r="D20" s="24">
        <f t="shared" ca="1" si="2"/>
        <v>841.43137289200013</v>
      </c>
      <c r="E20" s="24">
        <f t="shared" si="2"/>
        <v>16.119947830517489</v>
      </c>
      <c r="F20" s="24">
        <f t="shared" ca="1" si="2"/>
        <v>593.90692429167939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6187.7920000000004</v>
      </c>
      <c r="C26" s="40">
        <f>IF(ISERROR(B26*3.6/1000000/'E Balans VL '!Z12*100),0,B26*3.6/1000000/'E Balans VL '!Z12*100)</f>
        <v>0.13148614254226484</v>
      </c>
      <c r="D26" s="240" t="s">
        <v>707</v>
      </c>
      <c r="F26" s="6"/>
    </row>
    <row r="27" spans="1:18">
      <c r="A27" s="234" t="s">
        <v>53</v>
      </c>
      <c r="B27" s="34">
        <f>IF(ISERROR(TER_horeca_ele_kWh/1000),0,TER_horeca_ele_kWh/1000)</f>
        <v>588.36800000000005</v>
      </c>
      <c r="C27" s="40">
        <f>IF(ISERROR(B27*3.6/1000000/'E Balans VL '!Z9*100),0,B27*3.6/1000000/'E Balans VL '!Z9*100)</f>
        <v>4.6309111430012942E-2</v>
      </c>
      <c r="D27" s="240" t="s">
        <v>707</v>
      </c>
      <c r="F27" s="6"/>
    </row>
    <row r="28" spans="1:18">
      <c r="A28" s="174" t="s">
        <v>52</v>
      </c>
      <c r="B28" s="34">
        <f>IF(ISERROR(TER_handel_ele_kWh/1000),0,TER_handel_ele_kWh/1000)</f>
        <v>2009.4949999999999</v>
      </c>
      <c r="C28" s="40">
        <f>IF(ISERROR(B28*3.6/1000000/'E Balans VL '!Z13*100),0,B28*3.6/1000000/'E Balans VL '!Z13*100)</f>
        <v>5.6287030389265968E-2</v>
      </c>
      <c r="D28" s="240" t="s">
        <v>707</v>
      </c>
      <c r="F28" s="6"/>
    </row>
    <row r="29" spans="1:18">
      <c r="A29" s="234" t="s">
        <v>51</v>
      </c>
      <c r="B29" s="34">
        <f>IF(ISERROR(TER_gezond_ele_kWh/1000),0,TER_gezond_ele_kWh/1000)</f>
        <v>473.64499999999998</v>
      </c>
      <c r="C29" s="40">
        <f>IF(ISERROR(B29*3.6/1000000/'E Balans VL '!Z10*100),0,B29*3.6/1000000/'E Balans VL '!Z10*100)</f>
        <v>6.0593517947972131E-2</v>
      </c>
      <c r="D29" s="240" t="s">
        <v>707</v>
      </c>
      <c r="F29" s="6"/>
    </row>
    <row r="30" spans="1:18">
      <c r="A30" s="234" t="s">
        <v>50</v>
      </c>
      <c r="B30" s="34">
        <f>IF(ISERROR(TER_ander_ele_kWh/1000),0,TER_ander_ele_kWh/1000)</f>
        <v>2304.7289999999998</v>
      </c>
      <c r="C30" s="40">
        <f>IF(ISERROR(B30*3.6/1000000/'E Balans VL '!Z14*100),0,B30*3.6/1000000/'E Balans VL '!Z14*100)</f>
        <v>0.17237430921420019</v>
      </c>
      <c r="D30" s="240" t="s">
        <v>707</v>
      </c>
      <c r="F30" s="6"/>
    </row>
    <row r="31" spans="1:18">
      <c r="A31" s="234" t="s">
        <v>55</v>
      </c>
      <c r="B31" s="34">
        <f>IF(ISERROR(TER_onderwijs_ele_kWh/1000),0,TER_onderwijs_ele_kWh/1000)</f>
        <v>291.66800000000001</v>
      </c>
      <c r="C31" s="40">
        <f>IF(ISERROR(B31*3.6/1000000/'E Balans VL '!Z11*100),0,B31*3.6/1000000/'E Balans VL '!Z11*100)</f>
        <v>6.1586076006629777E-2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742.12200000000007</v>
      </c>
      <c r="C5" s="18">
        <f>IF(ISERROR('Eigen informatie GS &amp; warmtenet'!B59),0,'Eigen informatie GS &amp; warmtenet'!B59)</f>
        <v>0</v>
      </c>
      <c r="D5" s="31">
        <f>SUM(D6:D15)</f>
        <v>345.85115400000001</v>
      </c>
      <c r="E5" s="18">
        <f>SUM(E6:E15)</f>
        <v>5.0112536099295939</v>
      </c>
      <c r="F5" s="18">
        <f>SUM(F6:F15)</f>
        <v>463.97634732904817</v>
      </c>
      <c r="G5" s="19"/>
      <c r="H5" s="18"/>
      <c r="I5" s="18"/>
      <c r="J5" s="18">
        <f>SUM(J6:J15)</f>
        <v>0.67524715610104558</v>
      </c>
      <c r="K5" s="18"/>
      <c r="L5" s="18"/>
      <c r="M5" s="18"/>
      <c r="N5" s="18">
        <f>SUM(N6:N15)</f>
        <v>44.778994076673193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30.169</v>
      </c>
      <c r="C8" s="34"/>
      <c r="D8" s="38">
        <f>IF( ISERROR(IND_metaal_Gas_kWH/1000),0,IND_metaal_Gas_kWH/1000)*0.902</f>
        <v>0</v>
      </c>
      <c r="E8" s="34">
        <f>C30*'E Balans VL '!I18/100/3.6*1000000</f>
        <v>0.27474364617347907</v>
      </c>
      <c r="F8" s="34">
        <f>C30*'E Balans VL '!L18/100/3.6*1000000+C30*'E Balans VL '!N18/100/3.6*1000000</f>
        <v>3.9790619926789588</v>
      </c>
      <c r="G8" s="35"/>
      <c r="H8" s="34"/>
      <c r="I8" s="34"/>
      <c r="J8" s="41">
        <f>C30*'E Balans VL '!D18/100/3.6*1000000+C30*'E Balans VL '!E18/100/3.6*1000000</f>
        <v>0.49472779618932811</v>
      </c>
      <c r="K8" s="34"/>
      <c r="L8" s="34"/>
      <c r="M8" s="34"/>
      <c r="N8" s="34">
        <f>C30*'E Balans VL '!Y18/100/3.6*1000000</f>
        <v>0.10367886839549284</v>
      </c>
      <c r="O8" s="34"/>
      <c r="P8" s="34"/>
      <c r="R8" s="33"/>
    </row>
    <row r="9" spans="1:18">
      <c r="A9" s="6" t="s">
        <v>33</v>
      </c>
      <c r="B9" s="38">
        <f t="shared" si="0"/>
        <v>553.33000000000004</v>
      </c>
      <c r="C9" s="34"/>
      <c r="D9" s="38">
        <f>IF( ISERROR(IND_andere_gas_kWh/1000),0,IND_andere_gas_kWh/1000)*0.902</f>
        <v>306.85949800000003</v>
      </c>
      <c r="E9" s="34">
        <f>C31*'E Balans VL '!I19/100/3.6*1000000</f>
        <v>3.1983300883291021</v>
      </c>
      <c r="F9" s="34">
        <f>C31*'E Balans VL '!L19/100/3.6*1000000+C31*'E Balans VL '!N19/100/3.6*1000000</f>
        <v>440.20064018600272</v>
      </c>
      <c r="G9" s="35"/>
      <c r="H9" s="34"/>
      <c r="I9" s="34"/>
      <c r="J9" s="41">
        <f>C31*'E Balans VL '!D19/100/3.6*1000000+C31*'E Balans VL '!E19/100/3.6*1000000</f>
        <v>5.2338871784444171E-2</v>
      </c>
      <c r="K9" s="34"/>
      <c r="L9" s="34"/>
      <c r="M9" s="34"/>
      <c r="N9" s="34">
        <f>C31*'E Balans VL '!Y19/100/3.6*1000000</f>
        <v>41.923121212900924</v>
      </c>
      <c r="O9" s="34"/>
      <c r="P9" s="34"/>
      <c r="R9" s="33"/>
    </row>
    <row r="10" spans="1:18">
      <c r="A10" s="6" t="s">
        <v>41</v>
      </c>
      <c r="B10" s="38">
        <f t="shared" si="0"/>
        <v>133.238</v>
      </c>
      <c r="C10" s="34"/>
      <c r="D10" s="38">
        <f>IF( ISERROR(IND_voed_gas_kWh/1000),0,IND_voed_gas_kWh/1000)*0.902</f>
        <v>0</v>
      </c>
      <c r="E10" s="34">
        <f>C32*'E Balans VL '!I20/100/3.6*1000000</f>
        <v>1.310078110768869</v>
      </c>
      <c r="F10" s="34">
        <f>C32*'E Balans VL '!L20/100/3.6*1000000+C32*'E Balans VL '!N20/100/3.6*1000000</f>
        <v>14.797819008233446</v>
      </c>
      <c r="G10" s="35"/>
      <c r="H10" s="34"/>
      <c r="I10" s="34"/>
      <c r="J10" s="41">
        <f>C32*'E Balans VL '!D20/100/3.6*1000000+C32*'E Balans VL '!E20/100/3.6*1000000</f>
        <v>5.2515144441239324E-4</v>
      </c>
      <c r="K10" s="34"/>
      <c r="L10" s="34"/>
      <c r="M10" s="34"/>
      <c r="N10" s="34">
        <f>C32*'E Balans VL '!Y20/100/3.6*1000000</f>
        <v>1.9729413711882895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25.385000000000002</v>
      </c>
      <c r="C15" s="34"/>
      <c r="D15" s="38">
        <f>IF( ISERROR(IND_rest_gas_kWh/1000),0,IND_rest_gas_kWh/1000)*0.902</f>
        <v>38.991655999999999</v>
      </c>
      <c r="E15" s="34">
        <f>C37*'E Balans VL '!I15/100/3.6*1000000</f>
        <v>0.2281017646581438</v>
      </c>
      <c r="F15" s="34">
        <f>C37*'E Balans VL '!L15/100/3.6*1000000+C37*'E Balans VL '!N15/100/3.6*1000000</f>
        <v>4.9988261421330815</v>
      </c>
      <c r="G15" s="35"/>
      <c r="H15" s="34"/>
      <c r="I15" s="34"/>
      <c r="J15" s="41">
        <f>C37*'E Balans VL '!D15/100/3.6*1000000+C37*'E Balans VL '!E15/100/3.6*1000000</f>
        <v>0.12765533668286105</v>
      </c>
      <c r="K15" s="34"/>
      <c r="L15" s="34"/>
      <c r="M15" s="34"/>
      <c r="N15" s="34">
        <f>C37*'E Balans VL '!Y15/100/3.6*1000000</f>
        <v>0.77925262418848762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742.12200000000007</v>
      </c>
      <c r="C18" s="22">
        <f>C5+C16</f>
        <v>0</v>
      </c>
      <c r="D18" s="22">
        <f>MAX((D5+D16),0)</f>
        <v>345.85115400000001</v>
      </c>
      <c r="E18" s="22">
        <f>MAX((E5+E16),0)</f>
        <v>5.0112536099295939</v>
      </c>
      <c r="F18" s="22">
        <f>MAX((F5+F16),0)</f>
        <v>463.97634732904817</v>
      </c>
      <c r="G18" s="22"/>
      <c r="H18" s="22"/>
      <c r="I18" s="22"/>
      <c r="J18" s="22">
        <f>MAX((J5+J16),0)</f>
        <v>0.67524715610104558</v>
      </c>
      <c r="K18" s="22"/>
      <c r="L18" s="22">
        <f>MAX((L5+L16),0)</f>
        <v>0</v>
      </c>
      <c r="M18" s="22"/>
      <c r="N18" s="22">
        <f>MAX((N5+N16),0)</f>
        <v>44.778994076673193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0.1442600809773128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107.05857981504533</v>
      </c>
      <c r="C22" s="24">
        <f ca="1">C18*C20</f>
        <v>0</v>
      </c>
      <c r="D22" s="24">
        <f>D18*D20</f>
        <v>69.861933108000002</v>
      </c>
      <c r="E22" s="24">
        <f>E18*E20</f>
        <v>1.1375545694540179</v>
      </c>
      <c r="F22" s="24">
        <f>F18*F20</f>
        <v>123.88168473685587</v>
      </c>
      <c r="G22" s="24"/>
      <c r="H22" s="24"/>
      <c r="I22" s="24"/>
      <c r="J22" s="24">
        <f>J18*J20</f>
        <v>0.23903749325977011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30.169</v>
      </c>
      <c r="C30" s="40">
        <f>IF(ISERROR(B30*3.6/1000000/'E Balans VL '!Z18*100),0,B30*3.6/1000000/'E Balans VL '!Z18*100)</f>
        <v>1.6787031116278629E-3</v>
      </c>
      <c r="D30" s="240" t="s">
        <v>707</v>
      </c>
    </row>
    <row r="31" spans="1:18">
      <c r="A31" s="6" t="s">
        <v>33</v>
      </c>
      <c r="B31" s="38">
        <f>IF( ISERROR(IND_ander_ele_kWh/1000),0,IND_ander_ele_kWh/1000)</f>
        <v>553.33000000000004</v>
      </c>
      <c r="C31" s="40">
        <f>IF(ISERROR(B31*3.6/1000000/'E Balans VL '!Z19*100),0,B31*3.6/1000000/'E Balans VL '!Z19*100)</f>
        <v>2.5722858487917957E-2</v>
      </c>
      <c r="D31" s="240" t="s">
        <v>707</v>
      </c>
    </row>
    <row r="32" spans="1:18">
      <c r="A32" s="174" t="s">
        <v>41</v>
      </c>
      <c r="B32" s="38">
        <f>IF( ISERROR(IND_voed_ele_kWh/1000),0,IND_voed_ele_kWh/1000)</f>
        <v>133.238</v>
      </c>
      <c r="C32" s="40">
        <f>IF(ISERROR(B32*3.6/1000000/'E Balans VL '!Z20*100),0,B32*3.6/1000000/'E Balans VL '!Z20*100)</f>
        <v>4.70969421446311E-3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25.385000000000002</v>
      </c>
      <c r="C37" s="40">
        <f>IF(ISERROR(B37*3.6/1000000/'E Balans VL '!Z15*100),0,B37*3.6/1000000/'E Balans VL '!Z15*100)</f>
        <v>1.916942493154578E-4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1706.239</v>
      </c>
      <c r="C5" s="18">
        <f>'Eigen informatie GS &amp; warmtenet'!B60</f>
        <v>0</v>
      </c>
      <c r="D5" s="31">
        <f>IF(ISERROR(SUM(LB_lb_gas_kWh,LB_rest_gas_kWh,onbekend_gas_kWh)/1000),0,SUM(LB_lb_gas_kWh,LB_rest_gas_kWh,onbekend_gas_kWh)/1000)*0.902</f>
        <v>111.955338</v>
      </c>
      <c r="E5" s="18">
        <f>B17*'E Balans VL '!I25/3.6*1000000/100</f>
        <v>16.073914597631077</v>
      </c>
      <c r="F5" s="18">
        <f>B17*('E Balans VL '!L25/3.6*1000000+'E Balans VL '!N25/3.6*1000000)/100</f>
        <v>5568.0241079940906</v>
      </c>
      <c r="G5" s="19"/>
      <c r="H5" s="18"/>
      <c r="I5" s="18"/>
      <c r="J5" s="18">
        <f>('E Balans VL '!D25+'E Balans VL '!E25)/3.6*1000000*landbouw!B17/100</f>
        <v>211.07006344490182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1706.239</v>
      </c>
      <c r="C8" s="22">
        <f>C5+C6</f>
        <v>0</v>
      </c>
      <c r="D8" s="22">
        <f>MAX((D5+D6),0)</f>
        <v>111.955338</v>
      </c>
      <c r="E8" s="22">
        <f>MAX((E5+E6),0)</f>
        <v>16.073914597631077</v>
      </c>
      <c r="F8" s="22">
        <f>MAX((F5+F6),0)</f>
        <v>5568.0241079940906</v>
      </c>
      <c r="G8" s="22"/>
      <c r="H8" s="22"/>
      <c r="I8" s="22"/>
      <c r="J8" s="22">
        <f>MAX((J5+J6),0)</f>
        <v>211.07006344490182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0.1442600809773128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246.14217630664922</v>
      </c>
      <c r="C12" s="24">
        <f ca="1">C8*C10</f>
        <v>0</v>
      </c>
      <c r="D12" s="24">
        <f>D8*D10</f>
        <v>22.614978276000002</v>
      </c>
      <c r="E12" s="24">
        <f>E8*E10</f>
        <v>3.6487786136622549</v>
      </c>
      <c r="F12" s="24">
        <f>F8*F10</f>
        <v>1486.6624368344224</v>
      </c>
      <c r="G12" s="24"/>
      <c r="H12" s="24"/>
      <c r="I12" s="24"/>
      <c r="J12" s="24">
        <f>J8*J10</f>
        <v>74.718802459495237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0.23099749577235393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105.73661198785531</v>
      </c>
      <c r="C26" s="250">
        <f>B26*'GWP N2O_CH4'!B5</f>
        <v>2220.4688517449617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47.332818626011367</v>
      </c>
      <c r="C27" s="250">
        <f>B27*'GWP N2O_CH4'!B5</f>
        <v>993.98919114623868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3.3000215711467749</v>
      </c>
      <c r="C28" s="250">
        <f>B28*'GWP N2O_CH4'!B4</f>
        <v>1023.0066870555002</v>
      </c>
      <c r="D28" s="51"/>
    </row>
    <row r="29" spans="1:4">
      <c r="A29" s="42" t="s">
        <v>277</v>
      </c>
      <c r="B29" s="250">
        <f>B34*'ha_N2O bodem landbouw'!B4</f>
        <v>16.270326319714375</v>
      </c>
      <c r="C29" s="250">
        <f>B29*'GWP N2O_CH4'!B4</f>
        <v>5043.8011591114564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4.3924759121087903E-3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3.2401713244495404E-6</v>
      </c>
      <c r="C5" s="447" t="s">
        <v>211</v>
      </c>
      <c r="D5" s="432">
        <f>SUM(D6:D11)</f>
        <v>1.128717793860741E-5</v>
      </c>
      <c r="E5" s="432">
        <f>SUM(E6:E11)</f>
        <v>6.3171819351933551E-4</v>
      </c>
      <c r="F5" s="445" t="s">
        <v>211</v>
      </c>
      <c r="G5" s="432">
        <f>SUM(G6:G11)</f>
        <v>0.11038286182288967</v>
      </c>
      <c r="H5" s="432">
        <f>SUM(H6:H11)</f>
        <v>2.462973742958658E-2</v>
      </c>
      <c r="I5" s="447" t="s">
        <v>211</v>
      </c>
      <c r="J5" s="447" t="s">
        <v>211</v>
      </c>
      <c r="K5" s="447" t="s">
        <v>211</v>
      </c>
      <c r="L5" s="447" t="s">
        <v>211</v>
      </c>
      <c r="M5" s="432">
        <f>SUM(M6:M11)</f>
        <v>6.0420024709383988E-3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1.5001142363090336E-6</v>
      </c>
      <c r="C6" s="433"/>
      <c r="D6" s="433">
        <f>vkm_2011_GW_PW*SUMIFS(TableVerdeelsleutelVkm[CNG],TableVerdeelsleutelVkm[Voertuigtype],"Lichte voertuigen")*SUMIFS(TableECFTransport[EnergieConsumptieFactor (PJ per km)],TableECFTransport[Index],CONCATENATE($A6,"_CNG_CNG"))</f>
        <v>3.6633040876394597E-6</v>
      </c>
      <c r="E6" s="435">
        <f>vkm_2011_GW_PW*SUMIFS(TableVerdeelsleutelVkm[LPG],TableVerdeelsleutelVkm[Voertuigtype],"Lichte voertuigen")*SUMIFS(TableECFTransport[EnergieConsumptieFactor (PJ per km)],TableECFTransport[Index],CONCATENATE($A6,"_LPG_LPG"))</f>
        <v>2.1714173486886047E-4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3.1390392116964663E-2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8.2265199445963645E-3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1.7741182811351341E-3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1.3853185785722507E-2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5.5892203742220753E-6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6.1715514060826709E-4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1.7400570881405069E-6</v>
      </c>
      <c r="C8" s="433"/>
      <c r="D8" s="435">
        <f>vkm_2011_NGW_PW*SUMIFS(TableVerdeelsleutelVkm[CNG],TableVerdeelsleutelVkm[Voertuigtype],"Lichte voertuigen")*SUMIFS(TableECFTransport[EnergieConsumptieFactor (PJ per km)],TableECFTransport[Index],CONCATENATE($A8,"_CNG_CNG"))</f>
        <v>7.6238738509679509E-6</v>
      </c>
      <c r="E8" s="435">
        <f>vkm_2011_NGW_PW*SUMIFS(TableVerdeelsleutelVkm[LPG],TableVerdeelsleutelVkm[Voertuigtype],"Lichte voertuigen")*SUMIFS(TableECFTransport[EnergieConsumptieFactor (PJ per km)],TableECFTransport[Index],CONCATENATE($A8,"_LPG_LPG"))</f>
        <v>4.1457645865047502E-4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5.6616768179789771E-2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1.6394634375334324E-2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3.2710739455811336E-3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8.5225157404127325E-3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2.9938892816693752E-6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3.7965510361386381E-4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0.90004759012487234</v>
      </c>
      <c r="C14" s="22"/>
      <c r="D14" s="22">
        <f t="shared" ref="D14:M14" si="0">((D5)*10^9/3600)+D12</f>
        <v>3.1353272051687253</v>
      </c>
      <c r="E14" s="22">
        <f t="shared" si="0"/>
        <v>175.47727597759319</v>
      </c>
      <c r="F14" s="22"/>
      <c r="G14" s="22">
        <f t="shared" si="0"/>
        <v>30661.906061913796</v>
      </c>
      <c r="H14" s="22">
        <f t="shared" si="0"/>
        <v>6841.5937304407171</v>
      </c>
      <c r="I14" s="22"/>
      <c r="J14" s="22"/>
      <c r="K14" s="22"/>
      <c r="L14" s="22"/>
      <c r="M14" s="22">
        <f t="shared" si="0"/>
        <v>1678.3340197051107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0.1442600809773128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0.12984093823484932</v>
      </c>
      <c r="C18" s="24"/>
      <c r="D18" s="24">
        <f t="shared" ref="D18:M18" si="1">D14*D16</f>
        <v>0.63333609544408254</v>
      </c>
      <c r="E18" s="24">
        <f t="shared" si="1"/>
        <v>39.833341646913659</v>
      </c>
      <c r="F18" s="24"/>
      <c r="G18" s="24">
        <f t="shared" si="1"/>
        <v>8186.7289185309837</v>
      </c>
      <c r="H18" s="24">
        <f t="shared" si="1"/>
        <v>1703.5568388797385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3.9925808699297523E-3</v>
      </c>
      <c r="H50" s="323">
        <f t="shared" si="2"/>
        <v>0</v>
      </c>
      <c r="I50" s="323">
        <f t="shared" si="2"/>
        <v>0</v>
      </c>
      <c r="J50" s="323">
        <f t="shared" si="2"/>
        <v>0</v>
      </c>
      <c r="K50" s="323">
        <f t="shared" si="2"/>
        <v>0</v>
      </c>
      <c r="L50" s="323">
        <f t="shared" si="2"/>
        <v>0</v>
      </c>
      <c r="M50" s="323">
        <f t="shared" si="2"/>
        <v>1.7532081217273276E-4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3.9925808699297523E-3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1.7532081217273276E-4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1109.0502416471534</v>
      </c>
      <c r="H54" s="22">
        <f t="shared" si="3"/>
        <v>0</v>
      </c>
      <c r="I54" s="22">
        <f t="shared" si="3"/>
        <v>0</v>
      </c>
      <c r="J54" s="22">
        <f t="shared" si="3"/>
        <v>0</v>
      </c>
      <c r="K54" s="22">
        <f t="shared" si="3"/>
        <v>0</v>
      </c>
      <c r="L54" s="22">
        <f t="shared" si="3"/>
        <v>0</v>
      </c>
      <c r="M54" s="22">
        <f t="shared" si="3"/>
        <v>48.700225603536879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0.1442600809773128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296.11641451978994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3762.0513771978021</v>
      </c>
      <c r="C6" s="1190"/>
      <c r="D6" s="1193"/>
      <c r="E6" s="1193"/>
      <c r="F6" s="1196"/>
      <c r="G6" s="1199"/>
      <c r="H6" s="1187"/>
      <c r="I6" s="1193"/>
      <c r="J6" s="1193"/>
      <c r="K6" s="1193"/>
      <c r="L6" s="1223"/>
      <c r="M6" s="560"/>
      <c r="N6" s="1235"/>
      <c r="O6" s="1236"/>
      <c r="Q6" s="558"/>
      <c r="R6" s="1220"/>
      <c r="S6" s="1220"/>
    </row>
    <row r="7" spans="1:19" s="548" customFormat="1">
      <c r="A7" s="561" t="s">
        <v>252</v>
      </c>
      <c r="B7" s="562">
        <f>N57</f>
        <v>10552.5</v>
      </c>
      <c r="C7" s="563">
        <f>B100</f>
        <v>0</v>
      </c>
      <c r="D7" s="564"/>
      <c r="E7" s="564">
        <f>E100</f>
        <v>0</v>
      </c>
      <c r="F7" s="565"/>
      <c r="G7" s="566"/>
      <c r="H7" s="564">
        <f>I100</f>
        <v>0</v>
      </c>
      <c r="I7" s="564">
        <f>G100+F100</f>
        <v>0</v>
      </c>
      <c r="J7" s="564">
        <f>H100+D100+C100</f>
        <v>12414.705882352942</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14314.551377197802</v>
      </c>
      <c r="C9" s="579">
        <f t="shared" ref="C9:L9" si="0">SUM(C7:C8)</f>
        <v>0</v>
      </c>
      <c r="D9" s="579">
        <f t="shared" si="0"/>
        <v>0</v>
      </c>
      <c r="E9" s="579">
        <f t="shared" si="0"/>
        <v>0</v>
      </c>
      <c r="F9" s="579">
        <f t="shared" si="0"/>
        <v>0</v>
      </c>
      <c r="G9" s="579">
        <f t="shared" si="0"/>
        <v>0</v>
      </c>
      <c r="H9" s="579">
        <f t="shared" si="0"/>
        <v>0</v>
      </c>
      <c r="I9" s="579">
        <f t="shared" si="0"/>
        <v>0</v>
      </c>
      <c r="J9" s="579">
        <f t="shared" si="0"/>
        <v>12414.705882352942</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15075</v>
      </c>
      <c r="C16" s="595">
        <f>B101</f>
        <v>0</v>
      </c>
      <c r="D16" s="596"/>
      <c r="E16" s="596">
        <f>E101</f>
        <v>0</v>
      </c>
      <c r="F16" s="597"/>
      <c r="G16" s="598"/>
      <c r="H16" s="595">
        <f>I101</f>
        <v>0</v>
      </c>
      <c r="I16" s="596">
        <f>G101+F101</f>
        <v>0</v>
      </c>
      <c r="J16" s="596">
        <f>H101+D101+C101</f>
        <v>17735.294117647063</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15075</v>
      </c>
      <c r="C19" s="578">
        <f>SUM(C16:C18)</f>
        <v>0</v>
      </c>
      <c r="D19" s="578">
        <f t="shared" ref="D19:M19" si="1">SUM(D16:D18)</f>
        <v>0</v>
      </c>
      <c r="E19" s="578">
        <f t="shared" si="1"/>
        <v>0</v>
      </c>
      <c r="F19" s="578">
        <f t="shared" si="1"/>
        <v>0</v>
      </c>
      <c r="G19" s="578">
        <f t="shared" si="1"/>
        <v>0</v>
      </c>
      <c r="H19" s="578">
        <f t="shared" si="1"/>
        <v>0</v>
      </c>
      <c r="I19" s="578">
        <f t="shared" si="1"/>
        <v>0</v>
      </c>
      <c r="J19" s="578">
        <f t="shared" si="1"/>
        <v>17735.294117647063</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24130</v>
      </c>
      <c r="C27" s="840">
        <v>3440</v>
      </c>
      <c r="D27" s="657" t="s">
        <v>914</v>
      </c>
      <c r="E27" s="656" t="s">
        <v>915</v>
      </c>
      <c r="F27" s="656" t="s">
        <v>916</v>
      </c>
      <c r="G27" s="656" t="s">
        <v>917</v>
      </c>
      <c r="H27" s="656" t="s">
        <v>918</v>
      </c>
      <c r="I27" s="656" t="s">
        <v>915</v>
      </c>
      <c r="J27" s="839">
        <v>39744</v>
      </c>
      <c r="K27" s="839">
        <v>39750</v>
      </c>
      <c r="L27" s="656" t="s">
        <v>919</v>
      </c>
      <c r="M27" s="656">
        <v>2345</v>
      </c>
      <c r="N27" s="656">
        <v>10552.5</v>
      </c>
      <c r="O27" s="656">
        <v>15075</v>
      </c>
      <c r="P27" s="656">
        <v>0</v>
      </c>
      <c r="Q27" s="656">
        <v>30150.000000000004</v>
      </c>
      <c r="R27" s="656">
        <v>0</v>
      </c>
      <c r="S27" s="656">
        <v>0</v>
      </c>
      <c r="T27" s="656">
        <v>0</v>
      </c>
      <c r="U27" s="656">
        <v>0</v>
      </c>
      <c r="V27" s="656">
        <v>0</v>
      </c>
      <c r="W27" s="656"/>
      <c r="X27" s="656">
        <v>1600</v>
      </c>
      <c r="Y27" s="656" t="s">
        <v>50</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2345</v>
      </c>
      <c r="N57" s="614">
        <f>SUM(N27:N56)</f>
        <v>10552.5</v>
      </c>
      <c r="O57" s="614">
        <f t="shared" ref="O57:W57" si="2">SUM(O27:O56)</f>
        <v>15075</v>
      </c>
      <c r="P57" s="614">
        <f t="shared" si="2"/>
        <v>0</v>
      </c>
      <c r="Q57" s="614">
        <f t="shared" si="2"/>
        <v>30150.000000000004</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2345</v>
      </c>
      <c r="N59" s="614">
        <f ca="1">SUMIF($Z$27:AB56,"tertiair",N27:N56)</f>
        <v>10552.5</v>
      </c>
      <c r="O59" s="614">
        <f ca="1">SUMIF($Z$27:AC56,"tertiair",O27:O56)</f>
        <v>15075</v>
      </c>
      <c r="P59" s="614">
        <f ca="1">SUMIF($Z$27:AD56,"tertiair",P27:P56)</f>
        <v>0</v>
      </c>
      <c r="Q59" s="614">
        <f ca="1">SUMIF($Z$27:AE56,"tertiair",Q27:Q56)</f>
        <v>30150.000000000004</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12414.705882352942</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17735.294117647063</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2018-12-05T16:06:11Z</dcterms:modified>
</cp:coreProperties>
</file>