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D16" i="16" l="1"/>
  <c r="B38" i="13"/>
  <c r="B50" s="1"/>
  <c r="D6" i="17"/>
  <c r="D8"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1"/>
  <c r="I28" s="1"/>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J15" s="1"/>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D7" i="48" l="1"/>
  <c r="D24" s="1"/>
  <c r="E22" i="14"/>
  <c r="D12" i="17"/>
  <c r="E48" i="14" s="1"/>
  <c r="L28" i="48"/>
  <c r="I101" i="18"/>
  <c r="H16" s="1"/>
  <c r="I78" i="14" s="1"/>
  <c r="I81" s="1"/>
  <c r="E101" i="18"/>
  <c r="E16" s="1"/>
  <c r="F78" i="14" s="1"/>
  <c r="F81" s="1"/>
  <c r="C68"/>
  <c r="G101" i="18"/>
  <c r="I16" s="1"/>
  <c r="C101"/>
  <c r="K22" i="14"/>
  <c r="P22" i="16"/>
  <c r="Q39" i="14" s="1"/>
  <c r="H19" i="18"/>
  <c r="J7" i="48"/>
  <c r="J24" s="1"/>
  <c r="B101" i="18"/>
  <c r="C16" s="1"/>
  <c r="D101"/>
  <c r="J16" s="1"/>
  <c r="L5" i="17"/>
  <c r="L8" s="1"/>
  <c r="F101" i="18"/>
  <c r="D18" i="16"/>
  <c r="D22" s="1"/>
  <c r="E39" i="14" s="1"/>
  <c r="L21" i="48"/>
  <c r="B14" i="22"/>
  <c r="B9" i="48" s="1"/>
  <c r="I17" i="14"/>
  <c r="H12" i="22"/>
  <c r="D16" i="15"/>
  <c r="D20" s="1"/>
  <c r="B35" i="13"/>
  <c r="N8" i="17"/>
  <c r="I100" i="18"/>
  <c r="H7" s="1"/>
  <c r="E100"/>
  <c r="E7" s="1"/>
  <c r="H100"/>
  <c r="D100"/>
  <c r="G100"/>
  <c r="I7" s="1"/>
  <c r="C100"/>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B46" s="1"/>
  <c r="E5" s="1"/>
  <c r="E8" s="1"/>
  <c r="E12" s="1"/>
  <c r="F37" i="14" s="1"/>
  <c r="O18" i="16"/>
  <c r="M13" i="48"/>
  <c r="M51" i="22"/>
  <c r="M50" s="1"/>
  <c r="M54" s="1"/>
  <c r="M10" i="48" s="1"/>
  <c r="M27" s="1"/>
  <c r="H31" i="20"/>
  <c r="I43" i="14" s="1"/>
  <c r="H13" i="48"/>
  <c r="H30" s="1"/>
  <c r="M31" i="20"/>
  <c r="N43" i="14" s="1"/>
  <c r="G50" i="22"/>
  <c r="G54" s="1"/>
  <c r="H18" i="14" s="1"/>
  <c r="G13" i="48"/>
  <c r="G30" s="1"/>
  <c r="H17" i="14"/>
  <c r="M5" i="22"/>
  <c r="G5"/>
  <c r="H5"/>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K31"/>
  <c r="M30"/>
  <c r="M25"/>
  <c r="M24"/>
  <c r="I31"/>
  <c r="C50" i="13"/>
  <c r="J5" s="1"/>
  <c r="J8" s="1"/>
  <c r="E7" i="48"/>
  <c r="E24" s="1"/>
  <c r="E12" i="17"/>
  <c r="F48" i="14" s="1"/>
  <c r="C5" i="48"/>
  <c r="J7" i="18" l="1"/>
  <c r="J9" s="1"/>
  <c r="M14" i="22"/>
  <c r="E19" i="18"/>
  <c r="C14" i="48"/>
  <c r="H14" i="22"/>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R22" s="1"/>
  <c r="P15"/>
  <c r="P23" s="1"/>
  <c r="O8" i="48"/>
  <c r="O25" s="1"/>
  <c r="P13" i="14"/>
  <c r="F67"/>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46" i="14" l="1"/>
  <c r="N53" s="1"/>
  <c r="K67"/>
  <c r="K69" s="1"/>
  <c r="O31" i="48"/>
  <c r="Q7"/>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14"/>
  <c r="R10" i="14"/>
  <c r="F22" i="16" l="1"/>
  <c r="G39" i="14" s="1"/>
  <c r="G41" s="1"/>
  <c r="F8" i="48"/>
  <c r="Q8" s="1"/>
  <c r="Q14" s="1"/>
  <c r="N55" i="14"/>
  <c r="Q9" i="48"/>
  <c r="K13" i="14"/>
  <c r="K15" s="1"/>
  <c r="K23" s="1"/>
  <c r="J31" i="48"/>
  <c r="E25"/>
  <c r="E31" s="1"/>
  <c r="E14"/>
  <c r="N25"/>
  <c r="N14"/>
  <c r="E22" i="16"/>
  <c r="F39" i="14" s="1"/>
  <c r="F41" s="1"/>
  <c r="F53" s="1"/>
  <c r="J22" i="16"/>
  <c r="K39" i="14" s="1"/>
  <c r="K41" s="1"/>
  <c r="K53" s="1"/>
  <c r="K55" s="1"/>
  <c r="N31" i="48"/>
  <c r="F13" i="14"/>
  <c r="F15" s="1"/>
  <c r="F23" s="1"/>
  <c r="F55" s="1"/>
  <c r="G14" i="48"/>
  <c r="H55" i="14"/>
  <c r="M14" i="48"/>
  <c r="R19" i="14"/>
  <c r="R20" s="1"/>
  <c r="M26" i="48"/>
  <c r="M31" s="1"/>
  <c r="O53" i="14"/>
  <c r="G53"/>
  <c r="G55" s="1"/>
  <c r="O69" s="1"/>
  <c r="B9" i="6" s="1"/>
  <c r="B12" s="1"/>
  <c r="M53" i="14"/>
  <c r="M55" s="1"/>
  <c r="C12" i="13"/>
  <c r="D37" i="14" s="1"/>
  <c r="D41" s="1"/>
  <c r="C24" i="48"/>
  <c r="C28"/>
  <c r="C22"/>
  <c r="C25"/>
  <c r="C21"/>
  <c r="R13" i="14"/>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<sst xmlns="http://schemas.openxmlformats.org/spreadsheetml/2006/main" count="2205" uniqueCount="914">
  <si>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</si>
  <si>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</si>
  <si>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</si>
  <si>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</si>
  <si>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</si>
  <si>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</si>
  <si>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</si>
  <si>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</si>
  <si>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</si>
  <si>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</si>
  <si>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</si>
  <si>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</si>
  <si>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</si>
  <si>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</si>
  <si>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</si>
  <si>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</si>
  <si>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</si>
  <si>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</si>
  <si>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</si>
  <si>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</si>
  <si>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</si>
  <si>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</si>
  <si>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</si>
  <si>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</si>
  <si>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</si>
  <si>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</si>
  <si>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</si>
  <si>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</si>
  <si>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</si>
  <si>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</si>
  <si>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</si>
  <si>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</si>
  <si>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</si>
  <si>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</si>
  <si>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</si>
  <si>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</si>
  <si>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</si>
  <si>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</si>
  <si>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</si>
  <si>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</si>
  <si>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</si>
  <si>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</si>
  <si>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</si>
  <si>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</si>
  <si>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</si>
  <si>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</si>
  <si>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</si>
  <si>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</si>
  <si>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</si>
  <si>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</si>
  <si>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</si>
  <si>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</si>
  <si>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</si>
  <si>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</si>
  <si>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</si>
  <si>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</si>
  <si>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</si>
  <si>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</si>
  <si>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</si>
  <si>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</si>
  <si>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</si>
  <si>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</si>
  <si>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</si>
  <si>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</si>
  <si>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</si>
  <si>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</si>
  <si>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</si>
  <si>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</si>
  <si>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</si>
  <si>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</si>
  <si>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</si>
  <si>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</si>
  <si>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</si>
  <si>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</si>
  <si>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</si>
  <si>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</si>
  <si>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</si>
  <si>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</si>
  <si>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</si>
  <si>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</si>
  <si>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</si>
  <si>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</si>
  <si>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</si>
  <si>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</si>
  <si>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</si>
  <si>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</si>
  <si>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</si>
  <si>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</si>
  <si>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</si>
  <si>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</si>
  <si>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</si>
  <si>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</si>
  <si>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</si>
  <si>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</si>
  <si>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</si>
  <si>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</si>
  <si>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</si>
  <si>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</si>
  <si>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</si>
  <si>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</si>
  <si>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</si>
  <si>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</si>
  <si>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</si>
  <si>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</si>
  <si>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</si>
  <si>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</si>
  <si>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</si>
  <si>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</si>
  <si>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</si>
  <si>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</si>
  <si>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</si>
  <si>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</si>
  <si>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</si>
  <si>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</si>
  <si>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</si>
  <si>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</si>
  <si>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</si>
  <si>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</si>
  <si>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</si>
  <si>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</si>
  <si>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</si>
  <si>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</si>
  <si>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</si>
  <si>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</si>
  <si>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</si>
  <si>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</si>
  <si>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</si>
  <si>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</si>
  <si>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</si>
  <si>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</si>
  <si>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</si>
  <si>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</si>
  <si>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</si>
  <si>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</si>
  <si>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</si>
  <si>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</si>
  <si>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</si>
  <si>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</si>
  <si>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</si>
  <si>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</si>
  <si>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</si>
  <si>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</si>
  <si>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</si>
  <si>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</si>
  <si>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</si>
  <si>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</si>
  <si>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</si>
  <si>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</si>
  <si>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</si>
  <si>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</si>
  <si>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</si>
  <si>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</si>
  <si>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</si>
  <si>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</si>
  <si>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</si>
  <si>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</si>
  <si>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</si>
  <si>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</si>
  <si>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</si>
  <si>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</si>
  <si>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</si>
  <si>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</si>
  <si>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</si>
  <si>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</si>
  <si>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</si>
  <si>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</si>
  <si>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</si>
  <si>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</si>
  <si>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</si>
  <si>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</si>
  <si>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</si>
  <si>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</si>
  <si>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</si>
  <si>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</si>
  <si>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</si>
  <si>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</si>
  <si>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</si>
  <si>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</si>
  <si>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</si>
  <si>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</si>
  <si>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</si>
  <si>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</si>
  <si>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</si>
  <si>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</si>
  <si>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</si>
  <si>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</si>
  <si>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</si>
  <si>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</si>
  <si>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</si>
  <si>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</si>
  <si>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</si>
  <si>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</si>
  <si>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</si>
  <si>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</si>
  <si>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</si>
  <si>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</si>
  <si>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</si>
  <si>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</si>
  <si>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</si>
  <si>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</si>
  <si>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</si>
  <si>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</si>
  <si>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</si>
  <si>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</si>
  <si>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</si>
  <si>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</si>
  <si>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</si>
  <si>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</si>
  <si>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</si>
  <si>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</si>
  <si>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</si>
  <si>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</si>
  <si>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</si>
  <si>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</si>
  <si>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</si>
  <si>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</si>
  <si>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</si>
  <si>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</si>
  <si>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</si>
  <si>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</si>
  <si>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</si>
  <si>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</si>
  <si>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</si>
  <si>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</si>
  <si>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</si>
  <si>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</si>
  <si>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</si>
  <si>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</si>
  <si>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</si>
  <si>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</si>
  <si>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</si>
  <si>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</si>
  <si>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</si>
  <si>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</si>
  <si>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</si>
  <si>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</si>
  <si>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</si>
  <si>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</si>
  <si>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</si>
  <si>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</si>
  <si>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</si>
  <si>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</si>
  <si>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</si>
  <si>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</si>
  <si>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</si>
  <si>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</si>
  <si>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</si>
  <si>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</si>
  <si>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</si>
  <si>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</si>
  <si>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</si>
  <si>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</si>
  <si>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</si>
  <si>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</si>
  <si>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</si>
  <si>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</si>
  <si>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</si>
  <si>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</si>
  <si>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</si>
  <si>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</si>
  <si>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</si>
  <si>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</si>
  <si>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</si>
  <si>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</si>
  <si>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</si>
  <si>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</si>
  <si>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</si>
  <si>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</si>
  <si>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</si>
  <si>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</si>
  <si>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</si>
  <si>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</si>
  <si>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</si>
  <si>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</si>
  <si>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</si>
  <si>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</si>
  <si>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</si>
  <si>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</si>
  <si>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</si>
  <si>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</si>
  <si>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</si>
  <si>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</si>
  <si>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</si>
  <si>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</si>
  <si>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</si>
  <si>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</si>
  <si>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</si>
  <si>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</si>
  <si>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</si>
  <si>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</si>
  <si>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</si>
  <si>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</si>
  <si>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</si>
  <si>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</si>
  <si>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</si>
  <si>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</si>
  <si>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</si>
  <si>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</si>
  <si>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</si>
  <si>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</si>
  <si>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</si>
  <si>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</si>
  <si>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</si>
  <si>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</si>
  <si>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</si>
  <si>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</si>
  <si>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</si>
  <si>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</si>
  <si>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</si>
  <si>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</si>
  <si>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</si>
  <si>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</si>
  <si>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</si>
  <si>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</si>
  <si>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</si>
  <si>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</si>
  <si>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</si>
  <si>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</si>
  <si>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</si>
  <si>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</si>
  <si>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</si>
  <si>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</si>
  <si>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</si>
  <si>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</si>
  <si>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</si>
  <si>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</si>
  <si>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</si>
  <si>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</si>
  <si>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</si>
  <si>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</si>
  <si>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</si>
  <si>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</si>
  <si>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</si>
  <si>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</si>
  <si>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</si>
  <si>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</si>
  <si>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</si>
  <si>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</si>
  <si>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</si>
  <si>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</si>
  <si>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</si>
  <si>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</si>
  <si>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</si>
  <si>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</si>
  <si>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</si>
  <si>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</si>
  <si>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</si>
  <si>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</si>
  <si>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</si>
  <si>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</si>
  <si>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</si>
  <si>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</si>
  <si>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</si>
  <si>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</si>
  <si>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</si>
  <si>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</si>
  <si>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</si>
  <si>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</si>
  <si>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</si>
  <si>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</si>
  <si>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</si>
  <si>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</si>
  <si>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</si>
  <si>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</si>
  <si>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</si>
  <si>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</si>
  <si>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</si>
  <si>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</si>
  <si>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</si>
  <si>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</si>
  <si>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</si>
  <si>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</si>
  <si>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</si>
  <si>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</si>
  <si>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</si>
  <si>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</si>
  <si>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</si>
  <si>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</si>
  <si>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</si>
  <si>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</si>
  <si>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</si>
  <si>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</si>
  <si>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</si>
  <si>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</si>
  <si>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</si>
  <si>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</si>
  <si>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</si>
  <si>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</si>
  <si>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</si>
  <si>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</si>
  <si>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</si>
  <si>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</si>
  <si>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</si>
  <si>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</si>
  <si>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</si>
  <si>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</si>
  <si>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</si>
  <si>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</si>
  <si>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</si>
  <si>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</si>
  <si>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</si>
  <si>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</si>
  <si>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</si>
  <si>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</si>
  <si>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</si>
  <si>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</si>
  <si>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</si>
  <si>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</si>
  <si>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</si>
  <si>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</si>
  <si>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</si>
  <si>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</si>
  <si>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</si>
  <si>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</si>
  <si>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</si>
  <si>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</si>
  <si>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</si>
  <si>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</si>
  <si>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</si>
  <si>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</si>
  <si>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</si>
  <si>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</si>
  <si>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</si>
  <si>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</si>
  <si>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</si>
  <si>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</si>
  <si>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</si>
  <si>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</si>
  <si>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</si>
  <si>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</si>
  <si>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</si>
  <si>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</si>
  <si>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</si>
  <si>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</si>
  <si>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</si>
  <si>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</si>
  <si>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</si>
  <si>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</si>
  <si>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</si>
  <si>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</si>
  <si>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</si>
  <si>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</si>
  <si>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</si>
  <si>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</si>
  <si>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</si>
  <si>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</si>
  <si>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</si>
  <si>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</si>
  <si>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</si>
  <si>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</si>
  <si>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</si>
  <si>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</si>
  <si>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</si>
  <si>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</si>
  <si>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</si>
  <si>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</si>
  <si>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</si>
  <si>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</si>
  <si>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</si>
  <si>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</si>
  <si>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</si>
  <si>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</si>
  <si>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</si>
  <si>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</si>
  <si>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</si>
  <si>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</si>
  <si>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</si>
  <si>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</si>
  <si>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</si>
  <si>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</si>
  <si>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</si>
  <si>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</si>
  <si>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</si>
  <si>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</si>
  <si>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</si>
  <si>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</si>
  <si>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</si>
  <si>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</si>
  <si>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</si>
  <si>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</si>
  <si>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</si>
  <si>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</si>
  <si>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</si>
  <si>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</si>
  <si>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</si>
  <si>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</si>
  <si>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</si>
  <si>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</si>
  <si>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</si>
  <si>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</si>
  <si>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</si>
  <si>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</si>
  <si>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</si>
  <si>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</si>
  <si>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</si>
  <si>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</si>
  <si>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</si>
  <si>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</si>
  <si>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</si>
  <si>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</si>
  <si>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</si>
  <si>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</si>
  <si>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</si>
  <si>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</si>
  <si>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</si>
  <si>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</si>
  <si>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</si>
  <si>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</si>
  <si>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</si>
  <si>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</si>
  <si>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</si>
  <si>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</si>
  <si>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</si>
  <si>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</si>
  <si>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</si>
  <si>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</si>
  <si>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</si>
  <si>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</si>
  <si>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</si>
  <si>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</si>
  <si>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</si>
  <si>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</si>
  <si>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</si>
  <si>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</si>
  <si>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</si>
  <si>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</si>
  <si>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</si>
  <si>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</si>
  <si>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</si>
  <si>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</si>
  <si>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</si>
  <si>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</si>
  <si>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</si>
  <si>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</si>
  <si>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</si>
  <si>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</si>
  <si>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</si>
  <si>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</si>
  <si>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</si>
  <si>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</si>
  <si>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</si>
  <si>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</si>
  <si>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</si>
  <si>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</si>
  <si>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</si>
  <si>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</si>
  <si>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</si>
  <si>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</si>
  <si>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</si>
  <si>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</si>
  <si>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</si>
  <si>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</si>
  <si>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</si>
  <si>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</si>
  <si>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</si>
  <si>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</si>
  <si>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</si>
  <si>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</si>
  <si>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</si>
  <si>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</si>
  <si>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</si>
  <si>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</si>
  <si>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</si>
  <si>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</si>
  <si>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</si>
  <si>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</si>
  <si>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</si>
  <si>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</si>
  <si>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</si>
  <si>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</si>
  <si>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</si>
  <si>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</si>
  <si>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</si>
  <si>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</si>
  <si>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</si>
  <si>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</si>
  <si>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</si>
  <si>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</si>
  <si>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</si>
  <si>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</si>
  <si>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</si>
  <si>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</si>
  <si>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</si>
  <si>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</si>
  <si>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</si>
  <si>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</si>
  <si>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</si>
  <si>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</si>
  <si>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</si>
  <si>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</si>
  <si>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</si>
  <si>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</si>
  <si>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</si>
  <si>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</si>
  <si>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</si>
  <si>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</si>
  <si>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</si>
  <si>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</si>
  <si>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</si>
  <si>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</si>
  <si>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</si>
  <si>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</si>
  <si>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</si>
  <si>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</si>
  <si>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</si>
  <si>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</si>
  <si>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</si>
  <si>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</si>
  <si>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</si>
  <si>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</si>
  <si>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</si>
  <si>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</si>
  <si>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</si>
  <si>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</si>
  <si>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</si>
  <si>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</si>
  <si>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</si>
  <si>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</si>
  <si>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</si>
  <si>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</si>
  <si>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</si>
  <si>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</si>
  <si>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</si>
  <si>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</si>
  <si>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</si>
  <si>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</si>
  <si>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</si>
  <si>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</si>
  <si>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</si>
  <si>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</si>
  <si>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</si>
  <si>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</si>
  <si>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</si>
  <si>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</si>
  <si>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</si>
  <si>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</si>
  <si>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</si>
  <si>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</si>
  <si>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</si>
  <si>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</si>
  <si>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</si>
  <si>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</si>
  <si>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</si>
  <si>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</si>
  <si>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</si>
  <si>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</si>
  <si>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</si>
  <si>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</si>
  <si>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</si>
  <si>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</si>
  <si>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</si>
  <si>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</si>
  <si>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</si>
  <si>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</si>
  <si>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</si>
  <si>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</si>
  <si>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</si>
  <si>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</si>
  <si>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</si>
  <si>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</si>
  <si>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</si>
  <si>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</si>
  <si>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</si>
  <si>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</si>
  <si>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</si>
  <si>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</si>
  <si>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</si>
  <si>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</si>
  <si>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</si>
  <si>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</si>
  <si>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</si>
  <si>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</si>
  <si>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</si>
  <si>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</si>
  <si>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</si>
  <si>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</si>
  <si>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</si>
  <si>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</si>
  <si>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</si>
  <si>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</si>
  <si>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</si>
  <si>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</si>
  <si>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</si>
  <si>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</si>
  <si>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</si>
  <si>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</si>
  <si>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</si>
  <si>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</si>
  <si>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</si>
  <si>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</si>
  <si>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</si>
  <si>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</si>
  <si>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</si>
  <si>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</si>
  <si>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</si>
  <si>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</si>
  <si>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</si>
  <si>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</si>
  <si>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</si>
  <si>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</si>
  <si>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</si>
  <si>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</si>
  <si>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</si>
  <si>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</si>
  <si>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</si>
  <si>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</si>
  <si>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</si>
  <si>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</si>
  <si>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</si>
  <si>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</si>
  <si>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</si>
  <si>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</si>
  <si>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</si>
  <si>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</si>
  <si>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</si>
  <si>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</si>
  <si>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</si>
  <si>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</si>
  <si>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</si>
  <si>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</si>
  <si>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</si>
  <si>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</si>
  <si>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</si>
  <si>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</si>
  <si>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</si>
  <si>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</si>
  <si>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</si>
  <si>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</si>
  <si>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</si>
  <si>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</si>
  <si>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</si>
  <si>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</si>
  <si>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</si>
  <si>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</si>
  <si>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</si>
  <si>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</si>
  <si>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</si>
  <si>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</si>
  <si>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</si>
  <si>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</si>
  <si>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</si>
  <si>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</si>
  <si>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</si>
  <si>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</si>
  <si>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</si>
  <si>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</si>
  <si>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</si>
  <si>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</si>
  <si>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</si>
  <si>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</si>
  <si>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</si>
  <si>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</si>
  <si>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</si>
  <si>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</si>
  <si>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</si>
  <si>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</si>
  <si>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</si>
  <si>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</si>
  <si>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</si>
  <si>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</si>
  <si>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</si>
  <si>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</si>
  <si>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</si>
  <si>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</si>
  <si>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</si>
  <si>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</si>
  <si>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</si>
  <si>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</si>
  <si>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</si>
  <si>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</si>
  <si>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</si>
  <si>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</si>
  <si>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</si>
  <si>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</si>
  <si>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</si>
  <si>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</si>
  <si>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</si>
  <si>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</si>
  <si>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</si>
  <si>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</si>
  <si>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</si>
  <si>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</si>
  <si>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</si>
  <si>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</si>
  <si>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</si>
  <si>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</si>
  <si>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</si>
  <si>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</si>
  <si>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</si>
  <si>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</si>
  <si>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</si>
  <si>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</si>
  <si>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</si>
  <si>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</si>
  <si>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</si>
  <si>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</si>
  <si>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</si>
  <si>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</si>
  <si>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</si>
  <si>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</si>
  <si>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</si>
  <si>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</si>
  <si>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</si>
  <si>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</si>
  <si>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</si>
  <si>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</si>
  <si>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</si>
  <si>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</si>
  <si>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</si>
  <si>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</si>
  <si>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</si>
  <si>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</si>
  <si>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</si>
  <si>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</si>
  <si>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</si>
  <si>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</si>
  <si>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</si>
  <si>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</si>
  <si>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</si>
  <si>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</si>
  <si>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</si>
  <si>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</si>
  <si>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</si>
  <si>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</si>
  <si>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</si>
  <si>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</si>
  <si>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</si>
  <si>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</si>
  <si>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</si>
  <si>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</si>
  <si>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</si>
  <si>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</si>
  <si>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</si>
  <si>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</si>
  <si>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</si>
  <si>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</si>
  <si>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</si>
  <si>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</si>
  <si>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</si>
  <si>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</si>
  <si>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</si>
  <si>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</si>
  <si>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</si>
  <si>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</si>
  <si>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</si>
  <si>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</si>
  <si>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</si>
  <si>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</si>
  <si>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</si>
  <si>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</si>
  <si>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</si>
  <si>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</si>
  <si>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</si>
  <si>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</si>
  <si>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</si>
  <si>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</si>
  <si>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</si>
  <si>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</si>
  <si>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</si>
  <si>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</si>
  <si>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</si>
  <si>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</si>
  <si>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</si>
  <si>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</si>
  <si>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</si>
  <si>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</si>
  <si>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</si>
  <si>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</si>
  <si>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</si>
  <si>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</si>
  <si>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</si>
  <si>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</si>
  <si>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</si>
  <si>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</si>
  <si>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</si>
  <si>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</si>
  <si>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</si>
  <si>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</si>
  <si>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</si>
  <si>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</si>
  <si>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</si>
  <si>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</si>
  <si>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</si>
  <si>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</si>
  <si>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</si>
  <si>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</si>
  <si>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</si>
  <si>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</si>
  <si>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</si>
  <si>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</si>
  <si>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</si>
  <si>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</si>
  <si>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</si>
  <si>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</si>
  <si>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</si>
  <si>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</si>
  <si>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</si>
  <si>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</si>
  <si>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</si>
  <si>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</si>
  <si>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</si>
  <si>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</si>
  <si>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</si>
  <si>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</si>
  <si>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</si>
  <si>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</si>
  <si>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</si>
  <si>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</si>
  <si>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24009</t>
  </si>
  <si>
    <t>BERTEM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</si>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</sst>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24009</v>
      </c>
      <c r="B6" s="397"/>
      <c r="C6" s="398"/>
    </row>
    <row r="7" spans="1:7" s="395" customFormat="1" ht="15.75" customHeight="1">
      <c r="A7" s="399" t="str">
        <f>txtMunicipality</f>
        <v>BERTEM</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9389.137943605534</v>
      </c>
      <c r="D10" s="703">
        <f ca="1">tertiair!C16</f>
        <v>0</v>
      </c>
      <c r="E10" s="703">
        <f ca="1">tertiair!D16</f>
        <v>7183.8883439669335</v>
      </c>
      <c r="F10" s="703">
        <f>tertiair!E16</f>
        <v>66.196708429730762</v>
      </c>
      <c r="G10" s="703">
        <f ca="1">tertiair!F16</f>
        <v>1974.7683665125642</v>
      </c>
      <c r="H10" s="703">
        <f>tertiair!G16</f>
        <v>0</v>
      </c>
      <c r="I10" s="703">
        <f>tertiair!H16</f>
        <v>0</v>
      </c>
      <c r="J10" s="703">
        <f>tertiair!I16</f>
        <v>0</v>
      </c>
      <c r="K10" s="703">
        <f>tertiair!J16</f>
        <v>0</v>
      </c>
      <c r="L10" s="703">
        <f>tertiair!K16</f>
        <v>0</v>
      </c>
      <c r="M10" s="703">
        <f ca="1">tertiair!L16</f>
        <v>0</v>
      </c>
      <c r="N10" s="703">
        <f>tertiair!M16</f>
        <v>0</v>
      </c>
      <c r="O10" s="703">
        <f ca="1">tertiair!N16</f>
        <v>1593.8563611141274</v>
      </c>
      <c r="P10" s="703">
        <f>tertiair!O16</f>
        <v>0</v>
      </c>
      <c r="Q10" s="704">
        <f>tertiair!P16</f>
        <v>0</v>
      </c>
      <c r="R10" s="706">
        <f ca="1">SUM(C10:Q10)</f>
        <v>20207.847723628889</v>
      </c>
      <c r="S10" s="68"/>
    </row>
    <row r="11" spans="1:19" s="458" customFormat="1">
      <c r="A11" s="859" t="s">
        <v>225</v>
      </c>
      <c r="B11" s="864"/>
      <c r="C11" s="703">
        <f>huishoudens!B8</f>
        <v>17350.053949793561</v>
      </c>
      <c r="D11" s="703">
        <f>huishoudens!C8</f>
        <v>0</v>
      </c>
      <c r="E11" s="703">
        <f>huishoudens!D8</f>
        <v>36805.803859912936</v>
      </c>
      <c r="F11" s="703">
        <f>huishoudens!E8</f>
        <v>1820.4198254008591</v>
      </c>
      <c r="G11" s="703">
        <f>huishoudens!F8</f>
        <v>21141.416074201315</v>
      </c>
      <c r="H11" s="703">
        <f>huishoudens!G8</f>
        <v>0</v>
      </c>
      <c r="I11" s="703">
        <f>huishoudens!H8</f>
        <v>0</v>
      </c>
      <c r="J11" s="703">
        <f>huishoudens!I8</f>
        <v>0</v>
      </c>
      <c r="K11" s="703">
        <f>huishoudens!J8</f>
        <v>0</v>
      </c>
      <c r="L11" s="703">
        <f>huishoudens!K8</f>
        <v>0</v>
      </c>
      <c r="M11" s="703">
        <f>huishoudens!L8</f>
        <v>0</v>
      </c>
      <c r="N11" s="703">
        <f>huishoudens!M8</f>
        <v>0</v>
      </c>
      <c r="O11" s="703">
        <f>huishoudens!N8</f>
        <v>4688.740845173701</v>
      </c>
      <c r="P11" s="703">
        <f>huishoudens!O8</f>
        <v>92.236666666666679</v>
      </c>
      <c r="Q11" s="704">
        <f>huishoudens!P8</f>
        <v>133.46666666666667</v>
      </c>
      <c r="R11" s="706">
        <f>SUM(C11:Q11)</f>
        <v>82032.137887815697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652.89435612261605</v>
      </c>
      <c r="D13" s="703">
        <f>industrie!C18</f>
        <v>0</v>
      </c>
      <c r="E13" s="703">
        <f>industrie!D18</f>
        <v>616.34190494406994</v>
      </c>
      <c r="F13" s="703">
        <f>industrie!E18</f>
        <v>5.2319545206859068</v>
      </c>
      <c r="G13" s="703">
        <f>industrie!F18</f>
        <v>258.30485890506105</v>
      </c>
      <c r="H13" s="703">
        <f>industrie!G18</f>
        <v>0</v>
      </c>
      <c r="I13" s="703">
        <f>industrie!H18</f>
        <v>0</v>
      </c>
      <c r="J13" s="703">
        <f>industrie!I18</f>
        <v>0</v>
      </c>
      <c r="K13" s="703">
        <f>industrie!J18</f>
        <v>1.3260857220410882</v>
      </c>
      <c r="L13" s="703">
        <f>industrie!K18</f>
        <v>0</v>
      </c>
      <c r="M13" s="703">
        <f>industrie!L18</f>
        <v>0</v>
      </c>
      <c r="N13" s="703">
        <f>industrie!M18</f>
        <v>0</v>
      </c>
      <c r="O13" s="703">
        <f>industrie!N18</f>
        <v>28.349541174629923</v>
      </c>
      <c r="P13" s="703">
        <f>industrie!O18</f>
        <v>0</v>
      </c>
      <c r="Q13" s="704">
        <f>industrie!P18</f>
        <v>0</v>
      </c>
      <c r="R13" s="706">
        <f>SUM(C13:Q13)</f>
        <v>1562.4487013891039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27392.086249521712</v>
      </c>
      <c r="D15" s="708">
        <f t="shared" ref="D15:Q15" ca="1" si="0">SUM(D9:D14)</f>
        <v>0</v>
      </c>
      <c r="E15" s="708">
        <f t="shared" ca="1" si="0"/>
        <v>44606.034108823937</v>
      </c>
      <c r="F15" s="708">
        <f t="shared" si="0"/>
        <v>1891.8484883512756</v>
      </c>
      <c r="G15" s="708">
        <f t="shared" ca="1" si="0"/>
        <v>23374.489299618937</v>
      </c>
      <c r="H15" s="708">
        <f t="shared" si="0"/>
        <v>0</v>
      </c>
      <c r="I15" s="708">
        <f t="shared" si="0"/>
        <v>0</v>
      </c>
      <c r="J15" s="708">
        <f t="shared" si="0"/>
        <v>0</v>
      </c>
      <c r="K15" s="708">
        <f t="shared" si="0"/>
        <v>1.3260857220410882</v>
      </c>
      <c r="L15" s="708">
        <f t="shared" si="0"/>
        <v>0</v>
      </c>
      <c r="M15" s="708">
        <f t="shared" ca="1" si="0"/>
        <v>0</v>
      </c>
      <c r="N15" s="708">
        <f t="shared" si="0"/>
        <v>0</v>
      </c>
      <c r="O15" s="708">
        <f t="shared" ca="1" si="0"/>
        <v>6310.946747462458</v>
      </c>
      <c r="P15" s="708">
        <f t="shared" si="0"/>
        <v>92.236666666666679</v>
      </c>
      <c r="Q15" s="709">
        <f t="shared" si="0"/>
        <v>133.46666666666667</v>
      </c>
      <c r="R15" s="710">
        <f ca="1">SUM(R9:R14)</f>
        <v>103802.43431283369</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3421.0816421416098</v>
      </c>
      <c r="I18" s="703">
        <f>transport!H54</f>
        <v>0</v>
      </c>
      <c r="J18" s="703">
        <f>transport!I54</f>
        <v>0</v>
      </c>
      <c r="K18" s="703">
        <f>transport!J54</f>
        <v>0</v>
      </c>
      <c r="L18" s="703">
        <f>transport!K54</f>
        <v>0</v>
      </c>
      <c r="M18" s="703">
        <f>transport!L54</f>
        <v>0</v>
      </c>
      <c r="N18" s="703">
        <f>transport!M54</f>
        <v>150.22533833360933</v>
      </c>
      <c r="O18" s="703">
        <f>transport!N54</f>
        <v>0</v>
      </c>
      <c r="P18" s="703">
        <f>transport!O54</f>
        <v>0</v>
      </c>
      <c r="Q18" s="704">
        <f>transport!P54</f>
        <v>0</v>
      </c>
      <c r="R18" s="706">
        <f>SUM(C18:Q18)</f>
        <v>3571.306980475219</v>
      </c>
      <c r="S18" s="68"/>
    </row>
    <row r="19" spans="1:19" s="458" customFormat="1" ht="15" thickBot="1">
      <c r="A19" s="859" t="s">
        <v>307</v>
      </c>
      <c r="B19" s="864"/>
      <c r="C19" s="712">
        <f>transport!B14</f>
        <v>5.1888983294424076</v>
      </c>
      <c r="D19" s="712">
        <f>transport!C14</f>
        <v>0</v>
      </c>
      <c r="E19" s="712">
        <f>transport!D14</f>
        <v>14.318301101094896</v>
      </c>
      <c r="F19" s="712">
        <f>transport!E14</f>
        <v>969.17313221522284</v>
      </c>
      <c r="G19" s="712">
        <f>transport!F14</f>
        <v>0</v>
      </c>
      <c r="H19" s="712">
        <f>transport!G14</f>
        <v>173233.66947444089</v>
      </c>
      <c r="I19" s="712">
        <f>transport!H14</f>
        <v>33035.099812484325</v>
      </c>
      <c r="J19" s="712">
        <f>transport!I14</f>
        <v>0</v>
      </c>
      <c r="K19" s="712">
        <f>transport!J14</f>
        <v>0</v>
      </c>
      <c r="L19" s="712">
        <f>transport!K14</f>
        <v>0</v>
      </c>
      <c r="M19" s="712">
        <f>transport!L14</f>
        <v>0</v>
      </c>
      <c r="N19" s="712">
        <f>transport!M14</f>
        <v>9225.2718855452949</v>
      </c>
      <c r="O19" s="712">
        <f>transport!N14</f>
        <v>0</v>
      </c>
      <c r="P19" s="712">
        <f>transport!O14</f>
        <v>0</v>
      </c>
      <c r="Q19" s="713">
        <f>transport!P14</f>
        <v>0</v>
      </c>
      <c r="R19" s="714">
        <f>SUM(C19:Q19)</f>
        <v>216482.72150411626</v>
      </c>
      <c r="S19" s="68"/>
    </row>
    <row r="20" spans="1:19" s="458" customFormat="1" ht="15.75" thickBot="1">
      <c r="A20" s="715" t="s">
        <v>230</v>
      </c>
      <c r="B20" s="867"/>
      <c r="C20" s="862">
        <f>SUM(C17:C19)</f>
        <v>5.1888983294424076</v>
      </c>
      <c r="D20" s="716">
        <f t="shared" ref="D20:R20" si="1">SUM(D17:D19)</f>
        <v>0</v>
      </c>
      <c r="E20" s="716">
        <f t="shared" si="1"/>
        <v>14.318301101094896</v>
      </c>
      <c r="F20" s="716">
        <f t="shared" si="1"/>
        <v>969.17313221522284</v>
      </c>
      <c r="G20" s="716">
        <f t="shared" si="1"/>
        <v>0</v>
      </c>
      <c r="H20" s="716">
        <f t="shared" si="1"/>
        <v>176654.75111658251</v>
      </c>
      <c r="I20" s="716">
        <f t="shared" si="1"/>
        <v>33035.099812484325</v>
      </c>
      <c r="J20" s="716">
        <f t="shared" si="1"/>
        <v>0</v>
      </c>
      <c r="K20" s="716">
        <f t="shared" si="1"/>
        <v>0</v>
      </c>
      <c r="L20" s="716">
        <f t="shared" si="1"/>
        <v>0</v>
      </c>
      <c r="M20" s="716">
        <f t="shared" si="1"/>
        <v>0</v>
      </c>
      <c r="N20" s="716">
        <f t="shared" si="1"/>
        <v>9375.4972238789051</v>
      </c>
      <c r="O20" s="716">
        <f t="shared" si="1"/>
        <v>0</v>
      </c>
      <c r="P20" s="716">
        <f t="shared" si="1"/>
        <v>0</v>
      </c>
      <c r="Q20" s="717">
        <f t="shared" si="1"/>
        <v>0</v>
      </c>
      <c r="R20" s="718">
        <f t="shared" si="1"/>
        <v>220054.02848459149</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180.667553922358</v>
      </c>
      <c r="D22" s="712">
        <f>+landbouw!C8</f>
        <v>0</v>
      </c>
      <c r="E22" s="712">
        <f>+landbouw!D8</f>
        <v>966.07036826097146</v>
      </c>
      <c r="F22" s="712">
        <f>+landbouw!E8</f>
        <v>1.702009409180596</v>
      </c>
      <c r="G22" s="712">
        <f>+landbouw!F8</f>
        <v>589.57818674406781</v>
      </c>
      <c r="H22" s="712">
        <f>+landbouw!G8</f>
        <v>0</v>
      </c>
      <c r="I22" s="712">
        <f>+landbouw!H8</f>
        <v>0</v>
      </c>
      <c r="J22" s="712">
        <f>+landbouw!I8</f>
        <v>0</v>
      </c>
      <c r="K22" s="712">
        <f>+landbouw!J8</f>
        <v>22.349455187009163</v>
      </c>
      <c r="L22" s="712">
        <f>+landbouw!K8</f>
        <v>0</v>
      </c>
      <c r="M22" s="712">
        <f>+landbouw!L8</f>
        <v>0</v>
      </c>
      <c r="N22" s="712">
        <f>+landbouw!M8</f>
        <v>0</v>
      </c>
      <c r="O22" s="712">
        <f>+landbouw!N8</f>
        <v>0</v>
      </c>
      <c r="P22" s="712">
        <f>+landbouw!O8</f>
        <v>0</v>
      </c>
      <c r="Q22" s="713">
        <f>+landbouw!P8</f>
        <v>0</v>
      </c>
      <c r="R22" s="714">
        <f>SUM(C22:Q22)</f>
        <v>1760.367573523587</v>
      </c>
      <c r="S22" s="68"/>
    </row>
    <row r="23" spans="1:19" s="458" customFormat="1" ht="17.25" thickTop="1" thickBot="1">
      <c r="A23" s="719" t="s">
        <v>116</v>
      </c>
      <c r="B23" s="853"/>
      <c r="C23" s="720">
        <f ca="1">C20+C15+C22</f>
        <v>27577.942701773511</v>
      </c>
      <c r="D23" s="720">
        <f t="shared" ref="D23:Q23" ca="1" si="2">D20+D15+D22</f>
        <v>0</v>
      </c>
      <c r="E23" s="720">
        <f t="shared" ca="1" si="2"/>
        <v>45586.422778186003</v>
      </c>
      <c r="F23" s="720">
        <f t="shared" si="2"/>
        <v>2862.7236299756787</v>
      </c>
      <c r="G23" s="720">
        <f t="shared" ca="1" si="2"/>
        <v>23964.067486363005</v>
      </c>
      <c r="H23" s="720">
        <f t="shared" si="2"/>
        <v>176654.75111658251</v>
      </c>
      <c r="I23" s="720">
        <f t="shared" si="2"/>
        <v>33035.099812484325</v>
      </c>
      <c r="J23" s="720">
        <f t="shared" si="2"/>
        <v>0</v>
      </c>
      <c r="K23" s="720">
        <f t="shared" si="2"/>
        <v>23.675540909050252</v>
      </c>
      <c r="L23" s="720">
        <f t="shared" si="2"/>
        <v>0</v>
      </c>
      <c r="M23" s="720">
        <f t="shared" ca="1" si="2"/>
        <v>0</v>
      </c>
      <c r="N23" s="720">
        <f t="shared" si="2"/>
        <v>9375.4972238789051</v>
      </c>
      <c r="O23" s="720">
        <f t="shared" ca="1" si="2"/>
        <v>6310.946747462458</v>
      </c>
      <c r="P23" s="720">
        <f t="shared" si="2"/>
        <v>92.236666666666679</v>
      </c>
      <c r="Q23" s="721">
        <f t="shared" si="2"/>
        <v>133.46666666666667</v>
      </c>
      <c r="R23" s="722">
        <f ca="1">R20+R15+R22</f>
        <v>325616.83037094877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1948.1516976540076</v>
      </c>
      <c r="D36" s="703">
        <f ca="1">tertiair!C20</f>
        <v>0</v>
      </c>
      <c r="E36" s="703">
        <f ca="1">tertiair!D20</f>
        <v>1451.1454454813206</v>
      </c>
      <c r="F36" s="703">
        <f>tertiair!E20</f>
        <v>15.026652813548884</v>
      </c>
      <c r="G36" s="703">
        <f ca="1">tertiair!F20</f>
        <v>527.26315385885471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3941.5869498077318</v>
      </c>
    </row>
    <row r="37" spans="1:18">
      <c r="A37" s="874" t="s">
        <v>225</v>
      </c>
      <c r="B37" s="881"/>
      <c r="C37" s="703">
        <f ca="1">huishoudens!B12</f>
        <v>3599.9617067825461</v>
      </c>
      <c r="D37" s="703">
        <f ca="1">huishoudens!C12</f>
        <v>0</v>
      </c>
      <c r="E37" s="703">
        <f>huishoudens!D12</f>
        <v>7434.7723797024137</v>
      </c>
      <c r="F37" s="703">
        <f>huishoudens!E12</f>
        <v>413.23530036599504</v>
      </c>
      <c r="G37" s="703">
        <f>huishoudens!F12</f>
        <v>5644.7580918117519</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17092.727478662706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135.46901280061036</v>
      </c>
      <c r="D39" s="703">
        <f ca="1">industrie!C22</f>
        <v>0</v>
      </c>
      <c r="E39" s="703">
        <f>industrie!D22</f>
        <v>124.50106479870213</v>
      </c>
      <c r="F39" s="703">
        <f>industrie!E22</f>
        <v>1.1876536761957008</v>
      </c>
      <c r="G39" s="703">
        <f>industrie!F22</f>
        <v>68.967397327651298</v>
      </c>
      <c r="H39" s="703">
        <f>industrie!G22</f>
        <v>0</v>
      </c>
      <c r="I39" s="703">
        <f>industrie!H22</f>
        <v>0</v>
      </c>
      <c r="J39" s="703">
        <f>industrie!I22</f>
        <v>0</v>
      </c>
      <c r="K39" s="703">
        <f>industrie!J22</f>
        <v>0.46943434560254521</v>
      </c>
      <c r="L39" s="703">
        <f>industrie!K22</f>
        <v>0</v>
      </c>
      <c r="M39" s="703">
        <f>industrie!L22</f>
        <v>0</v>
      </c>
      <c r="N39" s="703">
        <f>industrie!M22</f>
        <v>0</v>
      </c>
      <c r="O39" s="703">
        <f>industrie!N22</f>
        <v>0</v>
      </c>
      <c r="P39" s="703">
        <f>industrie!O22</f>
        <v>0</v>
      </c>
      <c r="Q39" s="813">
        <f>industrie!P22</f>
        <v>0</v>
      </c>
      <c r="R39" s="907">
        <f ca="1">SUM(C39:Q39)</f>
        <v>330.59456294876207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5683.582417237164</v>
      </c>
      <c r="D41" s="748">
        <f t="shared" ref="D41:R41" ca="1" si="4">SUM(D35:D40)</f>
        <v>0</v>
      </c>
      <c r="E41" s="748">
        <f t="shared" ca="1" si="4"/>
        <v>9010.4188899824367</v>
      </c>
      <c r="F41" s="748">
        <f t="shared" si="4"/>
        <v>429.4496068557396</v>
      </c>
      <c r="G41" s="748">
        <f t="shared" ca="1" si="4"/>
        <v>6240.988642998258</v>
      </c>
      <c r="H41" s="748">
        <f t="shared" si="4"/>
        <v>0</v>
      </c>
      <c r="I41" s="748">
        <f t="shared" si="4"/>
        <v>0</v>
      </c>
      <c r="J41" s="748">
        <f t="shared" si="4"/>
        <v>0</v>
      </c>
      <c r="K41" s="748">
        <f t="shared" si="4"/>
        <v>0.46943434560254521</v>
      </c>
      <c r="L41" s="748">
        <f t="shared" si="4"/>
        <v>0</v>
      </c>
      <c r="M41" s="748">
        <f t="shared" ca="1" si="4"/>
        <v>0</v>
      </c>
      <c r="N41" s="748">
        <f t="shared" si="4"/>
        <v>0</v>
      </c>
      <c r="O41" s="748">
        <f t="shared" ca="1" si="4"/>
        <v>0</v>
      </c>
      <c r="P41" s="748">
        <f t="shared" si="4"/>
        <v>0</v>
      </c>
      <c r="Q41" s="749">
        <f t="shared" si="4"/>
        <v>0</v>
      </c>
      <c r="R41" s="750">
        <f t="shared" ca="1" si="4"/>
        <v>21364.908991419201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913.42879845180983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913.42879845180983</v>
      </c>
    </row>
    <row r="45" spans="1:18" ht="15" thickBot="1">
      <c r="A45" s="877" t="s">
        <v>307</v>
      </c>
      <c r="B45" s="887"/>
      <c r="C45" s="712">
        <f ca="1">transport!B18</f>
        <v>1.0766442191151142</v>
      </c>
      <c r="D45" s="712">
        <f>transport!C18</f>
        <v>0</v>
      </c>
      <c r="E45" s="712">
        <f>transport!D18</f>
        <v>2.8922968224211694</v>
      </c>
      <c r="F45" s="712">
        <f>transport!E18</f>
        <v>220.00230101285558</v>
      </c>
      <c r="G45" s="712">
        <f>transport!F18</f>
        <v>0</v>
      </c>
      <c r="H45" s="712">
        <f>transport!G18</f>
        <v>46253.38974967572</v>
      </c>
      <c r="I45" s="712">
        <f>transport!H18</f>
        <v>8225.7398533085961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54703.100845038709</v>
      </c>
    </row>
    <row r="46" spans="1:18" ht="15.75" thickBot="1">
      <c r="A46" s="875" t="s">
        <v>230</v>
      </c>
      <c r="B46" s="888"/>
      <c r="C46" s="748">
        <f t="shared" ref="C46:R46" ca="1" si="5">SUM(C43:C45)</f>
        <v>1.0766442191151142</v>
      </c>
      <c r="D46" s="748">
        <f t="shared" ca="1" si="5"/>
        <v>0</v>
      </c>
      <c r="E46" s="748">
        <f t="shared" si="5"/>
        <v>2.8922968224211694</v>
      </c>
      <c r="F46" s="748">
        <f t="shared" si="5"/>
        <v>220.00230101285558</v>
      </c>
      <c r="G46" s="748">
        <f t="shared" si="5"/>
        <v>0</v>
      </c>
      <c r="H46" s="748">
        <f t="shared" si="5"/>
        <v>47166.818548127529</v>
      </c>
      <c r="I46" s="748">
        <f t="shared" si="5"/>
        <v>8225.7398533085961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55616.529643490518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37.48670048292837</v>
      </c>
      <c r="D48" s="703">
        <f ca="1">+landbouw!C12</f>
        <v>0</v>
      </c>
      <c r="E48" s="703">
        <f>+landbouw!D12</f>
        <v>195.14621438871626</v>
      </c>
      <c r="F48" s="703">
        <f>+landbouw!E12</f>
        <v>0.38635613588399531</v>
      </c>
      <c r="G48" s="703">
        <f>+landbouw!F12</f>
        <v>157.41737586066611</v>
      </c>
      <c r="H48" s="703">
        <f>+landbouw!G12</f>
        <v>0</v>
      </c>
      <c r="I48" s="703">
        <f>+landbouw!H12</f>
        <v>0</v>
      </c>
      <c r="J48" s="703">
        <f>+landbouw!I12</f>
        <v>0</v>
      </c>
      <c r="K48" s="703">
        <f>+landbouw!J12</f>
        <v>7.911707136201243</v>
      </c>
      <c r="L48" s="703">
        <f>+landbouw!K12</f>
        <v>0</v>
      </c>
      <c r="M48" s="703">
        <f>+landbouw!L12</f>
        <v>0</v>
      </c>
      <c r="N48" s="703">
        <f>+landbouw!M12</f>
        <v>0</v>
      </c>
      <c r="O48" s="703">
        <f>+landbouw!N12</f>
        <v>0</v>
      </c>
      <c r="P48" s="703">
        <f>+landbouw!O12</f>
        <v>0</v>
      </c>
      <c r="Q48" s="704">
        <f>+landbouw!P12</f>
        <v>0</v>
      </c>
      <c r="R48" s="746">
        <f ca="1">SUM(C48:Q48)</f>
        <v>398.34835400439601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5722.1457619392077</v>
      </c>
      <c r="D53" s="758">
        <f t="shared" ref="D53:Q53" ca="1" si="6">D41+D46+D48</f>
        <v>0</v>
      </c>
      <c r="E53" s="758">
        <f t="shared" ca="1" si="6"/>
        <v>9208.4574011935747</v>
      </c>
      <c r="F53" s="758">
        <f t="shared" si="6"/>
        <v>649.83826400447913</v>
      </c>
      <c r="G53" s="758">
        <f t="shared" ca="1" si="6"/>
        <v>6398.4060188589237</v>
      </c>
      <c r="H53" s="758">
        <f t="shared" si="6"/>
        <v>47166.818548127529</v>
      </c>
      <c r="I53" s="758">
        <f t="shared" si="6"/>
        <v>8225.7398533085961</v>
      </c>
      <c r="J53" s="758">
        <f t="shared" si="6"/>
        <v>0</v>
      </c>
      <c r="K53" s="758">
        <f t="shared" si="6"/>
        <v>8.3811414818037875</v>
      </c>
      <c r="L53" s="758">
        <f t="shared" si="6"/>
        <v>0</v>
      </c>
      <c r="M53" s="758">
        <f t="shared" ca="1" si="6"/>
        <v>0</v>
      </c>
      <c r="N53" s="758">
        <f t="shared" si="6"/>
        <v>0</v>
      </c>
      <c r="O53" s="758">
        <f t="shared" ca="1" si="6"/>
        <v>0</v>
      </c>
      <c r="P53" s="758">
        <f>P41+P46+P48</f>
        <v>0</v>
      </c>
      <c r="Q53" s="759">
        <f t="shared" si="6"/>
        <v>0</v>
      </c>
      <c r="R53" s="760">
        <f ca="1">R41+R46+R48</f>
        <v>77379.786988914115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0.20748994309757637</v>
      </c>
      <c r="D55" s="824">
        <f t="shared" ca="1" si="7"/>
        <v>0</v>
      </c>
      <c r="E55" s="824">
        <f t="shared" ca="1" si="7"/>
        <v>0.20200000000000004</v>
      </c>
      <c r="F55" s="824">
        <f t="shared" si="7"/>
        <v>0.22700000000000004</v>
      </c>
      <c r="G55" s="824">
        <f t="shared" ca="1" si="7"/>
        <v>0.26700000000000007</v>
      </c>
      <c r="H55" s="824">
        <f t="shared" si="7"/>
        <v>0.26699999999999996</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1685.8804305553756</v>
      </c>
      <c r="C66" s="780">
        <f>'lokale energieproductie'!B6</f>
        <v>1685.8804305553756</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1685.8804305553756</v>
      </c>
      <c r="C69" s="788">
        <f>SUM(C64:C68)</f>
        <v>1685.8804305553756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17350.053949793561</v>
      </c>
      <c r="C4" s="462">
        <f>huishoudens!C8</f>
        <v>0</v>
      </c>
      <c r="D4" s="462">
        <f>huishoudens!D8</f>
        <v>36805.803859912936</v>
      </c>
      <c r="E4" s="462">
        <f>huishoudens!E8</f>
        <v>1820.4198254008591</v>
      </c>
      <c r="F4" s="462">
        <f>huishoudens!F8</f>
        <v>21141.416074201315</v>
      </c>
      <c r="G4" s="462">
        <f>huishoudens!G8</f>
        <v>0</v>
      </c>
      <c r="H4" s="462">
        <f>huishoudens!H8</f>
        <v>0</v>
      </c>
      <c r="I4" s="462">
        <f>huishoudens!I8</f>
        <v>0</v>
      </c>
      <c r="J4" s="462">
        <f>huishoudens!J8</f>
        <v>0</v>
      </c>
      <c r="K4" s="462">
        <f>huishoudens!K8</f>
        <v>0</v>
      </c>
      <c r="L4" s="462">
        <f>huishoudens!L8</f>
        <v>0</v>
      </c>
      <c r="M4" s="462">
        <f>huishoudens!M8</f>
        <v>0</v>
      </c>
      <c r="N4" s="462">
        <f>huishoudens!N8</f>
        <v>4688.740845173701</v>
      </c>
      <c r="O4" s="462">
        <f>huishoudens!O8</f>
        <v>92.236666666666679</v>
      </c>
      <c r="P4" s="463">
        <f>huishoudens!P8</f>
        <v>133.46666666666667</v>
      </c>
      <c r="Q4" s="464">
        <f>SUM(B4:P4)</f>
        <v>82032.137887815697</v>
      </c>
    </row>
    <row r="5" spans="1:17">
      <c r="A5" s="461" t="s">
        <v>156</v>
      </c>
      <c r="B5" s="462">
        <f ca="1">tertiair!B16</f>
        <v>8863.9359436055347</v>
      </c>
      <c r="C5" s="462">
        <f ca="1">tertiair!C16</f>
        <v>0</v>
      </c>
      <c r="D5" s="462">
        <f ca="1">tertiair!D16</f>
        <v>7183.8883439669335</v>
      </c>
      <c r="E5" s="462">
        <f>tertiair!E16</f>
        <v>66.196708429730762</v>
      </c>
      <c r="F5" s="462">
        <f ca="1">tertiair!F16</f>
        <v>1974.7683665125642</v>
      </c>
      <c r="G5" s="462">
        <f>tertiair!G16</f>
        <v>0</v>
      </c>
      <c r="H5" s="462">
        <f>tertiair!H16</f>
        <v>0</v>
      </c>
      <c r="I5" s="462">
        <f>tertiair!I16</f>
        <v>0</v>
      </c>
      <c r="J5" s="462">
        <f>tertiair!J16</f>
        <v>0</v>
      </c>
      <c r="K5" s="462">
        <f>tertiair!K16</f>
        <v>0</v>
      </c>
      <c r="L5" s="462">
        <f ca="1">tertiair!L16</f>
        <v>0</v>
      </c>
      <c r="M5" s="462">
        <f>tertiair!M16</f>
        <v>0</v>
      </c>
      <c r="N5" s="462">
        <f ca="1">tertiair!N16</f>
        <v>1593.8563611141274</v>
      </c>
      <c r="O5" s="462">
        <f>tertiair!O16</f>
        <v>0</v>
      </c>
      <c r="P5" s="463">
        <f>tertiair!P16</f>
        <v>0</v>
      </c>
      <c r="Q5" s="461">
        <f t="shared" ref="Q5:Q13" ca="1" si="0">SUM(B5:P5)</f>
        <v>19682.645723628892</v>
      </c>
    </row>
    <row r="6" spans="1:17">
      <c r="A6" s="461" t="s">
        <v>194</v>
      </c>
      <c r="B6" s="462">
        <f>'openbare verlichting'!B8</f>
        <v>525.202</v>
      </c>
      <c r="C6" s="462"/>
      <c r="D6" s="462"/>
      <c r="E6" s="462"/>
      <c r="F6" s="462"/>
      <c r="G6" s="462"/>
      <c r="H6" s="462"/>
      <c r="I6" s="462"/>
      <c r="J6" s="462"/>
      <c r="K6" s="462"/>
      <c r="L6" s="462"/>
      <c r="M6" s="462"/>
      <c r="N6" s="462"/>
      <c r="O6" s="462"/>
      <c r="P6" s="463"/>
      <c r="Q6" s="461">
        <f t="shared" si="0"/>
        <v>525.202</v>
      </c>
    </row>
    <row r="7" spans="1:17">
      <c r="A7" s="461" t="s">
        <v>112</v>
      </c>
      <c r="B7" s="462">
        <f>landbouw!B8</f>
        <v>180.667553922358</v>
      </c>
      <c r="C7" s="462">
        <f>landbouw!C8</f>
        <v>0</v>
      </c>
      <c r="D7" s="462">
        <f>landbouw!D8</f>
        <v>966.07036826097146</v>
      </c>
      <c r="E7" s="462">
        <f>landbouw!E8</f>
        <v>1.702009409180596</v>
      </c>
      <c r="F7" s="462">
        <f>landbouw!F8</f>
        <v>589.57818674406781</v>
      </c>
      <c r="G7" s="462">
        <f>landbouw!G8</f>
        <v>0</v>
      </c>
      <c r="H7" s="462">
        <f>landbouw!H8</f>
        <v>0</v>
      </c>
      <c r="I7" s="462">
        <f>landbouw!I8</f>
        <v>0</v>
      </c>
      <c r="J7" s="462">
        <f>landbouw!J8</f>
        <v>22.349455187009163</v>
      </c>
      <c r="K7" s="462">
        <f>landbouw!K8</f>
        <v>0</v>
      </c>
      <c r="L7" s="462">
        <f>landbouw!L8</f>
        <v>0</v>
      </c>
      <c r="M7" s="462">
        <f>landbouw!M8</f>
        <v>0</v>
      </c>
      <c r="N7" s="462">
        <f>landbouw!N8</f>
        <v>0</v>
      </c>
      <c r="O7" s="462">
        <f>landbouw!O8</f>
        <v>0</v>
      </c>
      <c r="P7" s="463">
        <f>landbouw!P8</f>
        <v>0</v>
      </c>
      <c r="Q7" s="461">
        <f t="shared" si="0"/>
        <v>1760.367573523587</v>
      </c>
    </row>
    <row r="8" spans="1:17">
      <c r="A8" s="461" t="s">
        <v>685</v>
      </c>
      <c r="B8" s="462">
        <f>industrie!B18</f>
        <v>652.89435612261605</v>
      </c>
      <c r="C8" s="462">
        <f>industrie!C18</f>
        <v>0</v>
      </c>
      <c r="D8" s="462">
        <f>industrie!D18</f>
        <v>616.34190494406994</v>
      </c>
      <c r="E8" s="462">
        <f>industrie!E18</f>
        <v>5.2319545206859068</v>
      </c>
      <c r="F8" s="462">
        <f>industrie!F18</f>
        <v>258.30485890506105</v>
      </c>
      <c r="G8" s="462">
        <f>industrie!G18</f>
        <v>0</v>
      </c>
      <c r="H8" s="462">
        <f>industrie!H18</f>
        <v>0</v>
      </c>
      <c r="I8" s="462">
        <f>industrie!I18</f>
        <v>0</v>
      </c>
      <c r="J8" s="462">
        <f>industrie!J18</f>
        <v>1.3260857220410882</v>
      </c>
      <c r="K8" s="462">
        <f>industrie!K18</f>
        <v>0</v>
      </c>
      <c r="L8" s="462">
        <f>industrie!L18</f>
        <v>0</v>
      </c>
      <c r="M8" s="462">
        <f>industrie!M18</f>
        <v>0</v>
      </c>
      <c r="N8" s="462">
        <f>industrie!N18</f>
        <v>28.349541174629923</v>
      </c>
      <c r="O8" s="462">
        <f>industrie!O18</f>
        <v>0</v>
      </c>
      <c r="P8" s="463">
        <f>industrie!P18</f>
        <v>0</v>
      </c>
      <c r="Q8" s="461">
        <f t="shared" si="0"/>
        <v>1562.4487013891039</v>
      </c>
    </row>
    <row r="9" spans="1:17" s="467" customFormat="1">
      <c r="A9" s="465" t="s">
        <v>579</v>
      </c>
      <c r="B9" s="466">
        <f>transport!B14</f>
        <v>5.1888983294424076</v>
      </c>
      <c r="C9" s="466"/>
      <c r="D9" s="466">
        <f>transport!D14</f>
        <v>14.318301101094896</v>
      </c>
      <c r="E9" s="466">
        <f>transport!E14</f>
        <v>969.17313221522284</v>
      </c>
      <c r="F9" s="466"/>
      <c r="G9" s="466">
        <f>transport!G14</f>
        <v>173233.66947444089</v>
      </c>
      <c r="H9" s="466">
        <f>transport!H14</f>
        <v>33035.099812484325</v>
      </c>
      <c r="I9" s="466"/>
      <c r="J9" s="466"/>
      <c r="K9" s="466"/>
      <c r="L9" s="466"/>
      <c r="M9" s="466">
        <f>transport!M14</f>
        <v>9225.2718855452949</v>
      </c>
      <c r="N9" s="466"/>
      <c r="O9" s="466"/>
      <c r="P9" s="466"/>
      <c r="Q9" s="465">
        <f>SUM(B9:P9)</f>
        <v>216482.72150411626</v>
      </c>
    </row>
    <row r="10" spans="1:17">
      <c r="A10" s="461" t="s">
        <v>569</v>
      </c>
      <c r="B10" s="462">
        <f>transport!B54</f>
        <v>0</v>
      </c>
      <c r="C10" s="462"/>
      <c r="D10" s="462">
        <f>transport!D54</f>
        <v>0</v>
      </c>
      <c r="E10" s="462"/>
      <c r="F10" s="462"/>
      <c r="G10" s="462">
        <f>transport!G54</f>
        <v>3421.0816421416098</v>
      </c>
      <c r="H10" s="462"/>
      <c r="I10" s="462"/>
      <c r="J10" s="462"/>
      <c r="K10" s="462"/>
      <c r="L10" s="462"/>
      <c r="M10" s="462">
        <f>transport!M54</f>
        <v>150.22533833360933</v>
      </c>
      <c r="N10" s="462"/>
      <c r="O10" s="462"/>
      <c r="P10" s="463"/>
      <c r="Q10" s="461">
        <f t="shared" si="0"/>
        <v>3571.306980475219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27577.942701773511</v>
      </c>
      <c r="C14" s="472">
        <f t="shared" ref="C14:Q14" ca="1" si="1">SUM(C4:C13)</f>
        <v>0</v>
      </c>
      <c r="D14" s="472">
        <f t="shared" ca="1" si="1"/>
        <v>45586.422778186003</v>
      </c>
      <c r="E14" s="472">
        <f t="shared" si="1"/>
        <v>2862.7236299756792</v>
      </c>
      <c r="F14" s="472">
        <f t="shared" ca="1" si="1"/>
        <v>23964.067486363005</v>
      </c>
      <c r="G14" s="472">
        <f t="shared" si="1"/>
        <v>176654.75111658251</v>
      </c>
      <c r="H14" s="472">
        <f t="shared" si="1"/>
        <v>33035.099812484325</v>
      </c>
      <c r="I14" s="472">
        <f t="shared" si="1"/>
        <v>0</v>
      </c>
      <c r="J14" s="472">
        <f t="shared" si="1"/>
        <v>23.675540909050252</v>
      </c>
      <c r="K14" s="472">
        <f t="shared" si="1"/>
        <v>0</v>
      </c>
      <c r="L14" s="472">
        <f t="shared" ca="1" si="1"/>
        <v>0</v>
      </c>
      <c r="M14" s="472">
        <f t="shared" si="1"/>
        <v>9375.4972238789051</v>
      </c>
      <c r="N14" s="472">
        <f t="shared" ca="1" si="1"/>
        <v>6310.946747462458</v>
      </c>
      <c r="O14" s="472">
        <f t="shared" si="1"/>
        <v>92.236666666666679</v>
      </c>
      <c r="P14" s="473">
        <f t="shared" si="1"/>
        <v>133.46666666666667</v>
      </c>
      <c r="Q14" s="473">
        <f t="shared" ca="1" si="1"/>
        <v>325616.83037094877</v>
      </c>
    </row>
    <row r="16" spans="1:17">
      <c r="A16" s="475" t="s">
        <v>574</v>
      </c>
      <c r="B16" s="829">
        <f ca="1">huishoudens!B10</f>
        <v>0.20748994309757637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3599.9617067825461</v>
      </c>
      <c r="C21" s="462">
        <f t="shared" ref="C21:C28" ca="1" si="3">C4*$C$16</f>
        <v>0</v>
      </c>
      <c r="D21" s="462">
        <f t="shared" ref="D21:D30" si="4">D4*$D$16</f>
        <v>7434.7723797024137</v>
      </c>
      <c r="E21" s="462">
        <f t="shared" ref="E21:E30" si="5">E4*$E$16</f>
        <v>413.23530036599504</v>
      </c>
      <c r="F21" s="462">
        <f t="shared" ref="F21:F28" si="6">F4*$F$16</f>
        <v>5644.7580918117519</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17092.727478662706</v>
      </c>
    </row>
    <row r="22" spans="1:17">
      <c r="A22" s="461" t="s">
        <v>156</v>
      </c>
      <c r="B22" s="462">
        <f t="shared" ca="1" si="2"/>
        <v>1839.1775645592743</v>
      </c>
      <c r="C22" s="462">
        <f t="shared" ca="1" si="3"/>
        <v>0</v>
      </c>
      <c r="D22" s="462">
        <f t="shared" ca="1" si="4"/>
        <v>1451.1454454813206</v>
      </c>
      <c r="E22" s="462">
        <f t="shared" si="5"/>
        <v>15.026652813548884</v>
      </c>
      <c r="F22" s="462">
        <f t="shared" ca="1" si="6"/>
        <v>527.26315385885471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3832.6128167129987</v>
      </c>
    </row>
    <row r="23" spans="1:17">
      <c r="A23" s="461" t="s">
        <v>194</v>
      </c>
      <c r="B23" s="462">
        <f t="shared" ca="1" si="2"/>
        <v>108.9741330947333</v>
      </c>
      <c r="C23" s="462"/>
      <c r="D23" s="462"/>
      <c r="E23" s="462"/>
      <c r="F23" s="462"/>
      <c r="G23" s="462"/>
      <c r="H23" s="462"/>
      <c r="I23" s="462"/>
      <c r="J23" s="462"/>
      <c r="K23" s="462"/>
      <c r="L23" s="462"/>
      <c r="M23" s="462"/>
      <c r="N23" s="462"/>
      <c r="O23" s="462"/>
      <c r="P23" s="463"/>
      <c r="Q23" s="461">
        <f t="shared" ca="1" si="17"/>
        <v>108.9741330947333</v>
      </c>
    </row>
    <row r="24" spans="1:17">
      <c r="A24" s="461" t="s">
        <v>112</v>
      </c>
      <c r="B24" s="462">
        <f t="shared" ca="1" si="2"/>
        <v>37.48670048292837</v>
      </c>
      <c r="C24" s="462">
        <f t="shared" ca="1" si="3"/>
        <v>0</v>
      </c>
      <c r="D24" s="462">
        <f t="shared" si="4"/>
        <v>195.14621438871626</v>
      </c>
      <c r="E24" s="462">
        <f t="shared" si="5"/>
        <v>0.38635613588399531</v>
      </c>
      <c r="F24" s="462">
        <f t="shared" si="6"/>
        <v>157.41737586066611</v>
      </c>
      <c r="G24" s="462">
        <f t="shared" si="7"/>
        <v>0</v>
      </c>
      <c r="H24" s="462">
        <f t="shared" si="8"/>
        <v>0</v>
      </c>
      <c r="I24" s="462">
        <f t="shared" si="9"/>
        <v>0</v>
      </c>
      <c r="J24" s="462">
        <f t="shared" si="10"/>
        <v>7.911707136201243</v>
      </c>
      <c r="K24" s="462">
        <f t="shared" si="11"/>
        <v>0</v>
      </c>
      <c r="L24" s="462">
        <f t="shared" si="12"/>
        <v>0</v>
      </c>
      <c r="M24" s="462">
        <f t="shared" si="13"/>
        <v>0</v>
      </c>
      <c r="N24" s="462">
        <f t="shared" si="14"/>
        <v>0</v>
      </c>
      <c r="O24" s="462">
        <f t="shared" si="15"/>
        <v>0</v>
      </c>
      <c r="P24" s="463">
        <f t="shared" si="16"/>
        <v>0</v>
      </c>
      <c r="Q24" s="461">
        <f t="shared" ca="1" si="17"/>
        <v>398.34835400439601</v>
      </c>
    </row>
    <row r="25" spans="1:17">
      <c r="A25" s="461" t="s">
        <v>685</v>
      </c>
      <c r="B25" s="462">
        <f t="shared" ca="1" si="2"/>
        <v>135.46901280061036</v>
      </c>
      <c r="C25" s="462">
        <f t="shared" ca="1" si="3"/>
        <v>0</v>
      </c>
      <c r="D25" s="462">
        <f t="shared" si="4"/>
        <v>124.50106479870213</v>
      </c>
      <c r="E25" s="462">
        <f t="shared" si="5"/>
        <v>1.1876536761957008</v>
      </c>
      <c r="F25" s="462">
        <f t="shared" si="6"/>
        <v>68.967397327651298</v>
      </c>
      <c r="G25" s="462">
        <f t="shared" si="7"/>
        <v>0</v>
      </c>
      <c r="H25" s="462">
        <f t="shared" si="8"/>
        <v>0</v>
      </c>
      <c r="I25" s="462">
        <f t="shared" si="9"/>
        <v>0</v>
      </c>
      <c r="J25" s="462">
        <f t="shared" si="10"/>
        <v>0.46943434560254521</v>
      </c>
      <c r="K25" s="462">
        <f t="shared" si="11"/>
        <v>0</v>
      </c>
      <c r="L25" s="462">
        <f t="shared" si="12"/>
        <v>0</v>
      </c>
      <c r="M25" s="462">
        <f t="shared" si="13"/>
        <v>0</v>
      </c>
      <c r="N25" s="462">
        <f t="shared" si="14"/>
        <v>0</v>
      </c>
      <c r="O25" s="462">
        <f t="shared" si="15"/>
        <v>0</v>
      </c>
      <c r="P25" s="463">
        <f t="shared" si="16"/>
        <v>0</v>
      </c>
      <c r="Q25" s="461">
        <f t="shared" ca="1" si="17"/>
        <v>330.59456294876207</v>
      </c>
    </row>
    <row r="26" spans="1:17" s="467" customFormat="1">
      <c r="A26" s="465" t="s">
        <v>579</v>
      </c>
      <c r="B26" s="823">
        <f t="shared" ca="1" si="2"/>
        <v>1.0766442191151142</v>
      </c>
      <c r="C26" s="466"/>
      <c r="D26" s="466">
        <f t="shared" si="4"/>
        <v>2.8922968224211694</v>
      </c>
      <c r="E26" s="466">
        <f t="shared" si="5"/>
        <v>220.00230101285558</v>
      </c>
      <c r="F26" s="466"/>
      <c r="G26" s="466">
        <f t="shared" si="7"/>
        <v>46253.38974967572</v>
      </c>
      <c r="H26" s="466">
        <f t="shared" si="8"/>
        <v>8225.7398533085961</v>
      </c>
      <c r="I26" s="466"/>
      <c r="J26" s="466"/>
      <c r="K26" s="466"/>
      <c r="L26" s="466"/>
      <c r="M26" s="466">
        <f t="shared" si="13"/>
        <v>0</v>
      </c>
      <c r="N26" s="466"/>
      <c r="O26" s="466"/>
      <c r="P26" s="477"/>
      <c r="Q26" s="465">
        <f t="shared" ca="1" si="17"/>
        <v>54703.100845038709</v>
      </c>
    </row>
    <row r="27" spans="1:17">
      <c r="A27" s="461" t="s">
        <v>569</v>
      </c>
      <c r="B27" s="462">
        <f t="shared" ca="1" si="2"/>
        <v>0</v>
      </c>
      <c r="C27" s="462"/>
      <c r="D27" s="466">
        <f t="shared" si="4"/>
        <v>0</v>
      </c>
      <c r="E27" s="462"/>
      <c r="F27" s="462"/>
      <c r="G27" s="462">
        <f t="shared" si="7"/>
        <v>913.42879845180983</v>
      </c>
      <c r="H27" s="462"/>
      <c r="I27" s="462"/>
      <c r="J27" s="462"/>
      <c r="K27" s="462"/>
      <c r="L27" s="462"/>
      <c r="M27" s="462">
        <f t="shared" si="13"/>
        <v>0</v>
      </c>
      <c r="N27" s="462"/>
      <c r="O27" s="462"/>
      <c r="P27" s="463"/>
      <c r="Q27" s="461">
        <f t="shared" ca="1" si="17"/>
        <v>913.42879845180983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5722.1457619392086</v>
      </c>
      <c r="C31" s="472">
        <f t="shared" ca="1" si="18"/>
        <v>0</v>
      </c>
      <c r="D31" s="472">
        <f t="shared" ca="1" si="18"/>
        <v>9208.4574011935747</v>
      </c>
      <c r="E31" s="472">
        <f t="shared" si="18"/>
        <v>649.83826400447924</v>
      </c>
      <c r="F31" s="472">
        <f t="shared" ca="1" si="18"/>
        <v>6398.4060188589237</v>
      </c>
      <c r="G31" s="472">
        <f t="shared" si="18"/>
        <v>47166.818548127529</v>
      </c>
      <c r="H31" s="472">
        <f t="shared" si="18"/>
        <v>8225.7398533085961</v>
      </c>
      <c r="I31" s="472">
        <f t="shared" si="18"/>
        <v>0</v>
      </c>
      <c r="J31" s="472">
        <f t="shared" si="18"/>
        <v>8.3811414818037875</v>
      </c>
      <c r="K31" s="472">
        <f t="shared" si="18"/>
        <v>0</v>
      </c>
      <c r="L31" s="472">
        <f t="shared" ca="1" si="18"/>
        <v>0</v>
      </c>
      <c r="M31" s="472">
        <f t="shared" si="18"/>
        <v>0</v>
      </c>
      <c r="N31" s="472">
        <f t="shared" ca="1" si="18"/>
        <v>0</v>
      </c>
      <c r="O31" s="472">
        <f t="shared" si="18"/>
        <v>0</v>
      </c>
      <c r="P31" s="473">
        <f t="shared" si="18"/>
        <v>0</v>
      </c>
      <c r="Q31" s="473">
        <f t="shared" ca="1" si="18"/>
        <v>77379.786988914115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0.20748994309757637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0.20748994309757637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0.20748994309757637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24009</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3720</v>
      </c>
      <c r="C9" s="338">
        <v>4080</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1805</v>
      </c>
    </row>
    <row r="15" spans="1:6">
      <c r="A15" s="1260" t="s">
        <v>184</v>
      </c>
      <c r="B15" s="335">
        <v>1</v>
      </c>
    </row>
    <row r="16" spans="1:6">
      <c r="A16" s="1260" t="s">
        <v>6</v>
      </c>
      <c r="B16" s="335">
        <v>86</v>
      </c>
    </row>
    <row r="17" spans="1:6">
      <c r="A17" s="1260" t="s">
        <v>7</v>
      </c>
      <c r="B17" s="335">
        <v>369</v>
      </c>
    </row>
    <row r="18" spans="1:6">
      <c r="A18" s="1260" t="s">
        <v>8</v>
      </c>
      <c r="B18" s="335">
        <v>405</v>
      </c>
    </row>
    <row r="19" spans="1:6">
      <c r="A19" s="1260" t="s">
        <v>9</v>
      </c>
      <c r="B19" s="335">
        <v>296</v>
      </c>
    </row>
    <row r="20" spans="1:6">
      <c r="A20" s="1260" t="s">
        <v>10</v>
      </c>
      <c r="B20" s="335">
        <v>340</v>
      </c>
    </row>
    <row r="21" spans="1:6">
      <c r="A21" s="1260" t="s">
        <v>11</v>
      </c>
      <c r="B21" s="335">
        <v>176</v>
      </c>
    </row>
    <row r="22" spans="1:6">
      <c r="A22" s="1260" t="s">
        <v>12</v>
      </c>
      <c r="B22" s="335">
        <v>0</v>
      </c>
    </row>
    <row r="23" spans="1:6">
      <c r="A23" s="1260" t="s">
        <v>13</v>
      </c>
      <c r="B23" s="335">
        <v>5</v>
      </c>
    </row>
    <row r="24" spans="1:6">
      <c r="A24" s="1260" t="s">
        <v>14</v>
      </c>
      <c r="B24" s="335">
        <v>1</v>
      </c>
    </row>
    <row r="25" spans="1:6">
      <c r="A25" s="1260" t="s">
        <v>15</v>
      </c>
      <c r="B25" s="335">
        <v>59</v>
      </c>
    </row>
    <row r="26" spans="1:6">
      <c r="A26" s="1260" t="s">
        <v>16</v>
      </c>
      <c r="B26" s="335">
        <v>68</v>
      </c>
    </row>
    <row r="27" spans="1:6">
      <c r="A27" s="1260" t="s">
        <v>17</v>
      </c>
      <c r="B27" s="335">
        <v>7</v>
      </c>
    </row>
    <row r="28" spans="1:6" s="341" customFormat="1">
      <c r="A28" s="1261" t="s">
        <v>18</v>
      </c>
      <c r="B28" s="1261">
        <v>0</v>
      </c>
    </row>
    <row r="29" spans="1:6">
      <c r="A29" s="1261" t="s">
        <v>910</v>
      </c>
      <c r="B29" s="1261">
        <v>47</v>
      </c>
      <c r="C29" s="341"/>
      <c r="D29" s="341"/>
      <c r="E29" s="341"/>
      <c r="F29" s="341"/>
    </row>
    <row r="30" spans="1:6">
      <c r="A30" s="1256" t="s">
        <v>911</v>
      </c>
      <c r="B30" s="1256">
        <v>34</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3</v>
      </c>
      <c r="F35" s="335">
        <v>9196.6048343645998</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0</v>
      </c>
      <c r="F38" s="335">
        <v>0</v>
      </c>
    </row>
    <row r="39" spans="1:6">
      <c r="A39" s="1260" t="s">
        <v>30</v>
      </c>
      <c r="B39" s="1260" t="s">
        <v>31</v>
      </c>
      <c r="C39" s="335">
        <v>1927</v>
      </c>
      <c r="D39" s="335">
        <v>40804660.598573104</v>
      </c>
      <c r="E39" s="335">
        <v>3649</v>
      </c>
      <c r="F39" s="335">
        <v>15727867.6945445</v>
      </c>
    </row>
    <row r="40" spans="1:6">
      <c r="A40" s="1260" t="s">
        <v>30</v>
      </c>
      <c r="B40" s="1260" t="s">
        <v>29</v>
      </c>
      <c r="C40" s="335">
        <v>0</v>
      </c>
      <c r="D40" s="335">
        <v>0</v>
      </c>
      <c r="E40" s="335">
        <v>0</v>
      </c>
      <c r="F40" s="335">
        <v>0</v>
      </c>
    </row>
    <row r="41" spans="1:6">
      <c r="A41" s="1260" t="s">
        <v>32</v>
      </c>
      <c r="B41" s="1260" t="s">
        <v>33</v>
      </c>
      <c r="C41" s="335">
        <v>7</v>
      </c>
      <c r="D41" s="335">
        <v>109208.70184556799</v>
      </c>
      <c r="E41" s="335">
        <v>34</v>
      </c>
      <c r="F41" s="335">
        <v>238936.001077828</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0</v>
      </c>
      <c r="F44" s="335">
        <v>0</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14</v>
      </c>
      <c r="D48" s="335">
        <v>574097.17946714803</v>
      </c>
      <c r="E48" s="335">
        <v>26</v>
      </c>
      <c r="F48" s="335">
        <v>259084.12917944699</v>
      </c>
    </row>
    <row r="49" spans="1:6">
      <c r="A49" s="1260" t="s">
        <v>32</v>
      </c>
      <c r="B49" s="1260" t="s">
        <v>40</v>
      </c>
      <c r="C49" s="335">
        <v>0</v>
      </c>
      <c r="D49" s="335">
        <v>0</v>
      </c>
      <c r="E49" s="335">
        <v>0</v>
      </c>
      <c r="F49" s="335">
        <v>0</v>
      </c>
    </row>
    <row r="50" spans="1:6">
      <c r="A50" s="1260" t="s">
        <v>32</v>
      </c>
      <c r="B50" s="1260" t="s">
        <v>41</v>
      </c>
      <c r="C50" s="335">
        <v>0</v>
      </c>
      <c r="D50" s="335">
        <v>0</v>
      </c>
      <c r="E50" s="335">
        <v>6</v>
      </c>
      <c r="F50" s="335">
        <v>154874.225865341</v>
      </c>
    </row>
    <row r="51" spans="1:6">
      <c r="A51" s="1260" t="s">
        <v>42</v>
      </c>
      <c r="B51" s="1260" t="s">
        <v>43</v>
      </c>
      <c r="C51" s="335">
        <v>0</v>
      </c>
      <c r="D51" s="335">
        <v>0</v>
      </c>
      <c r="E51" s="335">
        <v>16</v>
      </c>
      <c r="F51" s="335">
        <v>137937.54896871699</v>
      </c>
    </row>
    <row r="52" spans="1:6">
      <c r="A52" s="1260" t="s">
        <v>42</v>
      </c>
      <c r="B52" s="1260" t="s">
        <v>29</v>
      </c>
      <c r="C52" s="335">
        <v>3</v>
      </c>
      <c r="D52" s="335">
        <v>61760.508753510199</v>
      </c>
      <c r="E52" s="335">
        <v>10</v>
      </c>
      <c r="F52" s="335">
        <v>42730.004953641001</v>
      </c>
    </row>
    <row r="53" spans="1:6">
      <c r="A53" s="1260" t="s">
        <v>44</v>
      </c>
      <c r="B53" s="1260" t="s">
        <v>45</v>
      </c>
      <c r="C53" s="335">
        <v>38</v>
      </c>
      <c r="D53" s="335">
        <v>1009270.94164668</v>
      </c>
      <c r="E53" s="335">
        <v>72</v>
      </c>
      <c r="F53" s="335">
        <v>342955.83429607801</v>
      </c>
    </row>
    <row r="54" spans="1:6">
      <c r="A54" s="1260" t="s">
        <v>46</v>
      </c>
      <c r="B54" s="1260" t="s">
        <v>47</v>
      </c>
      <c r="C54" s="335">
        <v>0</v>
      </c>
      <c r="D54" s="335">
        <v>0</v>
      </c>
      <c r="E54" s="335">
        <v>1</v>
      </c>
      <c r="F54" s="335">
        <v>525202</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12</v>
      </c>
      <c r="D57" s="335">
        <v>388791.29746977898</v>
      </c>
      <c r="E57" s="335">
        <v>26</v>
      </c>
      <c r="F57" s="335">
        <v>2481339.8133181701</v>
      </c>
    </row>
    <row r="58" spans="1:6">
      <c r="A58" s="1260" t="s">
        <v>49</v>
      </c>
      <c r="B58" s="1260" t="s">
        <v>51</v>
      </c>
      <c r="C58" s="335">
        <v>3</v>
      </c>
      <c r="D58" s="335">
        <v>1062650.56343431</v>
      </c>
      <c r="E58" s="335">
        <v>9</v>
      </c>
      <c r="F58" s="335">
        <v>847264.49896418594</v>
      </c>
    </row>
    <row r="59" spans="1:6">
      <c r="A59" s="1260" t="s">
        <v>49</v>
      </c>
      <c r="B59" s="1260" t="s">
        <v>52</v>
      </c>
      <c r="C59" s="335">
        <v>3</v>
      </c>
      <c r="D59" s="335">
        <v>124062.60577138999</v>
      </c>
      <c r="E59" s="335">
        <v>32</v>
      </c>
      <c r="F59" s="335">
        <v>944033.63941428799</v>
      </c>
    </row>
    <row r="60" spans="1:6">
      <c r="A60" s="1260" t="s">
        <v>49</v>
      </c>
      <c r="B60" s="1260" t="s">
        <v>53</v>
      </c>
      <c r="C60" s="335">
        <v>9</v>
      </c>
      <c r="D60" s="335">
        <v>392457.01450211502</v>
      </c>
      <c r="E60" s="335">
        <v>18</v>
      </c>
      <c r="F60" s="335">
        <v>327834.33087338199</v>
      </c>
    </row>
    <row r="61" spans="1:6">
      <c r="A61" s="1260" t="s">
        <v>49</v>
      </c>
      <c r="B61" s="1260" t="s">
        <v>54</v>
      </c>
      <c r="C61" s="335">
        <v>42</v>
      </c>
      <c r="D61" s="335">
        <v>2957486.9574571899</v>
      </c>
      <c r="E61" s="335">
        <v>122</v>
      </c>
      <c r="F61" s="335">
        <v>1982604.87401921</v>
      </c>
    </row>
    <row r="62" spans="1:6">
      <c r="A62" s="1260" t="s">
        <v>49</v>
      </c>
      <c r="B62" s="1260" t="s">
        <v>55</v>
      </c>
      <c r="C62" s="335">
        <v>0</v>
      </c>
      <c r="D62" s="335">
        <v>0</v>
      </c>
      <c r="E62" s="335">
        <v>0</v>
      </c>
      <c r="F62" s="335">
        <v>0</v>
      </c>
    </row>
    <row r="63" spans="1:6">
      <c r="A63" s="1260" t="s">
        <v>49</v>
      </c>
      <c r="B63" s="1260" t="s">
        <v>29</v>
      </c>
      <c r="C63" s="335">
        <v>87</v>
      </c>
      <c r="D63" s="335">
        <v>3038951.0557853198</v>
      </c>
      <c r="E63" s="335">
        <v>124</v>
      </c>
      <c r="F63" s="335">
        <v>2280858.7870163</v>
      </c>
    </row>
    <row r="64" spans="1:6">
      <c r="A64" s="1260" t="s">
        <v>56</v>
      </c>
      <c r="B64" s="1260" t="s">
        <v>57</v>
      </c>
      <c r="C64" s="335">
        <v>0</v>
      </c>
      <c r="D64" s="335">
        <v>0</v>
      </c>
      <c r="E64" s="335">
        <v>0</v>
      </c>
      <c r="F64" s="335">
        <v>0</v>
      </c>
    </row>
    <row r="65" spans="1:6">
      <c r="A65" s="1260" t="s">
        <v>56</v>
      </c>
      <c r="B65" s="1260" t="s">
        <v>29</v>
      </c>
      <c r="C65" s="335">
        <v>2</v>
      </c>
      <c r="D65" s="335">
        <v>61669.9175208335</v>
      </c>
      <c r="E65" s="335">
        <v>6</v>
      </c>
      <c r="F65" s="335">
        <v>107797.049037754</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0</v>
      </c>
      <c r="F68" s="335">
        <v>0</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42952101</v>
      </c>
      <c r="E73" s="335">
        <v>54276093.568677232</v>
      </c>
    </row>
    <row r="74" spans="1:6">
      <c r="A74" s="1260" t="s">
        <v>64</v>
      </c>
      <c r="B74" s="1260" t="s">
        <v>772</v>
      </c>
      <c r="C74" s="1271" t="s">
        <v>766</v>
      </c>
      <c r="D74" s="335">
        <v>510972.3830847991</v>
      </c>
      <c r="E74" s="335">
        <v>493579.18226048222</v>
      </c>
    </row>
    <row r="75" spans="1:6">
      <c r="A75" s="1260" t="s">
        <v>65</v>
      </c>
      <c r="B75" s="1260" t="s">
        <v>771</v>
      </c>
      <c r="C75" s="1271" t="s">
        <v>767</v>
      </c>
      <c r="D75" s="335">
        <v>32847556</v>
      </c>
      <c r="E75" s="335">
        <v>42864461.36541447</v>
      </c>
    </row>
    <row r="76" spans="1:6">
      <c r="A76" s="1260" t="s">
        <v>65</v>
      </c>
      <c r="B76" s="1260" t="s">
        <v>772</v>
      </c>
      <c r="C76" s="1271" t="s">
        <v>768</v>
      </c>
      <c r="D76" s="335">
        <v>349098.3830847991</v>
      </c>
      <c r="E76" s="335">
        <v>322898.86917441175</v>
      </c>
    </row>
    <row r="77" spans="1:6">
      <c r="A77" s="1260" t="s">
        <v>66</v>
      </c>
      <c r="B77" s="1260" t="s">
        <v>771</v>
      </c>
      <c r="C77" s="1271" t="s">
        <v>769</v>
      </c>
      <c r="D77" s="335">
        <v>170820650</v>
      </c>
      <c r="E77" s="335">
        <v>181219874.47984859</v>
      </c>
    </row>
    <row r="78" spans="1:6">
      <c r="A78" s="1256" t="s">
        <v>66</v>
      </c>
      <c r="B78" s="1256" t="s">
        <v>772</v>
      </c>
      <c r="C78" s="1256" t="s">
        <v>770</v>
      </c>
      <c r="D78" s="1256">
        <v>16169752</v>
      </c>
      <c r="E78" s="1256">
        <v>16811902.773598034</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939623.23383040179</v>
      </c>
      <c r="C83" s="335">
        <v>910716.82663210644</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1622.1862552490613</v>
      </c>
    </row>
    <row r="92" spans="1:6">
      <c r="A92" s="1256" t="s">
        <v>69</v>
      </c>
      <c r="B92" s="338">
        <v>63.694175306314321</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1057</v>
      </c>
    </row>
    <row r="98" spans="1:6">
      <c r="A98" s="1260" t="s">
        <v>72</v>
      </c>
      <c r="B98" s="335">
        <v>0</v>
      </c>
    </row>
    <row r="99" spans="1:6">
      <c r="A99" s="1260" t="s">
        <v>73</v>
      </c>
      <c r="B99" s="335">
        <v>29</v>
      </c>
    </row>
    <row r="100" spans="1:6">
      <c r="A100" s="1260" t="s">
        <v>74</v>
      </c>
      <c r="B100" s="335">
        <v>199</v>
      </c>
    </row>
    <row r="101" spans="1:6">
      <c r="A101" s="1260" t="s">
        <v>75</v>
      </c>
      <c r="B101" s="335">
        <v>23</v>
      </c>
    </row>
    <row r="102" spans="1:6">
      <c r="A102" s="1260" t="s">
        <v>76</v>
      </c>
      <c r="B102" s="335">
        <v>35</v>
      </c>
    </row>
    <row r="103" spans="1:6">
      <c r="A103" s="1260" t="s">
        <v>77</v>
      </c>
      <c r="B103" s="335">
        <v>76</v>
      </c>
    </row>
    <row r="104" spans="1:6">
      <c r="A104" s="1260" t="s">
        <v>78</v>
      </c>
      <c r="B104" s="335">
        <v>1854</v>
      </c>
    </row>
    <row r="105" spans="1:6">
      <c r="A105" s="1256" t="s">
        <v>79</v>
      </c>
      <c r="B105" s="1256">
        <v>2</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4</v>
      </c>
      <c r="C123" s="335">
        <v>9</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50</v>
      </c>
    </row>
    <row r="130" spans="1:6">
      <c r="A130" s="1260" t="s">
        <v>295</v>
      </c>
      <c r="B130" s="335">
        <v>0</v>
      </c>
    </row>
    <row r="131" spans="1:6">
      <c r="A131" s="1260" t="s">
        <v>296</v>
      </c>
      <c r="B131" s="335">
        <v>0</v>
      </c>
    </row>
    <row r="132" spans="1:6">
      <c r="A132" s="1256" t="s">
        <v>297</v>
      </c>
      <c r="B132" s="338">
        <v>3</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27577.942701773511</v>
      </c>
      <c r="C3" s="44" t="s">
        <v>170</v>
      </c>
      <c r="D3" s="44"/>
      <c r="E3" s="157"/>
      <c r="F3" s="44"/>
      <c r="G3" s="44"/>
      <c r="H3" s="44"/>
      <c r="I3" s="44"/>
      <c r="J3" s="44"/>
      <c r="K3" s="97"/>
    </row>
    <row r="4" spans="1:11">
      <c r="A4" s="365" t="s">
        <v>171</v>
      </c>
      <c r="B4" s="50">
        <f>IF(ISERROR('SEAP template'!B69),0,'SEAP template'!B69)</f>
        <v>1685.8804305553756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0.20748994309757637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525.202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525.202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0.20748994309757637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108.9741330947333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15727.8676945445</v>
      </c>
      <c r="C5" s="18">
        <f>IF(ISERROR('Eigen informatie GS &amp; warmtenet'!B57),0,'Eigen informatie GS &amp; warmtenet'!B57)</f>
        <v>0</v>
      </c>
      <c r="D5" s="31">
        <f>(SUM(HH_hh_gas_kWh,HH_rest_gas_kWh)/1000)*0.902</f>
        <v>36805.803859912936</v>
      </c>
      <c r="E5" s="18">
        <f>B46*B57</f>
        <v>1820.4198254008591</v>
      </c>
      <c r="F5" s="18">
        <f>B51*B62</f>
        <v>21141.416074201315</v>
      </c>
      <c r="G5" s="19"/>
      <c r="H5" s="18"/>
      <c r="I5" s="18"/>
      <c r="J5" s="18">
        <f>B50*B61+C50*C61</f>
        <v>0</v>
      </c>
      <c r="K5" s="18"/>
      <c r="L5" s="18"/>
      <c r="M5" s="18"/>
      <c r="N5" s="18">
        <f>B48*B59+C48*C59</f>
        <v>4688.740845173701</v>
      </c>
      <c r="O5" s="18">
        <f>B69*B70*B71</f>
        <v>92.236666666666679</v>
      </c>
      <c r="P5" s="18">
        <f>B77*B78*B79/1000-B77*B78*B79/1000/B80</f>
        <v>133.46666666666667</v>
      </c>
    </row>
    <row r="6" spans="1:16">
      <c r="A6" s="17" t="s">
        <v>639</v>
      </c>
      <c r="B6" s="831">
        <f>kWh_PV_kleiner_dan_10kW</f>
        <v>1622.1862552490613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17350.053949793561</v>
      </c>
      <c r="C8" s="22">
        <f>C5</f>
        <v>0</v>
      </c>
      <c r="D8" s="22">
        <f>D5</f>
        <v>36805.803859912936</v>
      </c>
      <c r="E8" s="22">
        <f>E5</f>
        <v>1820.4198254008591</v>
      </c>
      <c r="F8" s="22">
        <f>F5</f>
        <v>21141.416074201315</v>
      </c>
      <c r="G8" s="22"/>
      <c r="H8" s="22"/>
      <c r="I8" s="22"/>
      <c r="J8" s="22">
        <f>J5</f>
        <v>0</v>
      </c>
      <c r="K8" s="22"/>
      <c r="L8" s="22">
        <f>L5</f>
        <v>0</v>
      </c>
      <c r="M8" s="22">
        <f>M5</f>
        <v>0</v>
      </c>
      <c r="N8" s="22">
        <f>N5</f>
        <v>4688.740845173701</v>
      </c>
      <c r="O8" s="22">
        <f>O5</f>
        <v>92.236666666666679</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0.20748994309757637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3599.9617067825461</v>
      </c>
      <c r="C12" s="24">
        <f ca="1">C10*C8</f>
        <v>0</v>
      </c>
      <c r="D12" s="24">
        <f>D8*D10</f>
        <v>7434.7723797024137</v>
      </c>
      <c r="E12" s="24">
        <f>E10*E8</f>
        <v>413.23530036599504</v>
      </c>
      <c r="F12" s="24">
        <f>F10*F8</f>
        <v>5644.7580918117519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1057</v>
      </c>
      <c r="C18" s="169" t="s">
        <v>111</v>
      </c>
      <c r="D18" s="231"/>
      <c r="E18" s="16"/>
    </row>
    <row r="19" spans="1:7">
      <c r="A19" s="174" t="s">
        <v>72</v>
      </c>
      <c r="B19" s="38">
        <f>aantalw2001_ander</f>
        <v>0</v>
      </c>
      <c r="C19" s="169" t="s">
        <v>111</v>
      </c>
      <c r="D19" s="232"/>
      <c r="E19" s="16"/>
    </row>
    <row r="20" spans="1:7">
      <c r="A20" s="174" t="s">
        <v>73</v>
      </c>
      <c r="B20" s="38">
        <f>aantalw2001_propaan</f>
        <v>29</v>
      </c>
      <c r="C20" s="170">
        <f>IF(ISERROR(B20/SUM($B$20,$B$21,$B$22)*100),0,B20/SUM($B$20,$B$21,$B$22)*100)</f>
        <v>11.553784860557768</v>
      </c>
      <c r="D20" s="232"/>
      <c r="E20" s="16"/>
    </row>
    <row r="21" spans="1:7">
      <c r="A21" s="174" t="s">
        <v>74</v>
      </c>
      <c r="B21" s="38">
        <f>aantalw2001_elektriciteit</f>
        <v>199</v>
      </c>
      <c r="C21" s="170">
        <f>IF(ISERROR(B21/SUM($B$20,$B$21,$B$22)*100),0,B21/SUM($B$20,$B$21,$B$22)*100)</f>
        <v>79.282868525896404</v>
      </c>
      <c r="D21" s="232"/>
      <c r="E21" s="16"/>
    </row>
    <row r="22" spans="1:7">
      <c r="A22" s="174" t="s">
        <v>75</v>
      </c>
      <c r="B22" s="38">
        <f>aantalw2001_hout</f>
        <v>23</v>
      </c>
      <c r="C22" s="170">
        <f>IF(ISERROR(B22/SUM($B$20,$B$21,$B$22)*100),0,B22/SUM($B$20,$B$21,$B$22)*100)</f>
        <v>9.1633466135458175</v>
      </c>
      <c r="D22" s="232"/>
      <c r="E22" s="16"/>
    </row>
    <row r="23" spans="1:7">
      <c r="A23" s="174" t="s">
        <v>76</v>
      </c>
      <c r="B23" s="38">
        <f>aantalw2001_niet_gespec</f>
        <v>35</v>
      </c>
      <c r="C23" s="169" t="s">
        <v>111</v>
      </c>
      <c r="D23" s="231"/>
      <c r="E23" s="16"/>
    </row>
    <row r="24" spans="1:7">
      <c r="A24" s="174" t="s">
        <v>77</v>
      </c>
      <c r="B24" s="38">
        <f>aantalw2001_steenkool</f>
        <v>76</v>
      </c>
      <c r="C24" s="169" t="s">
        <v>111</v>
      </c>
      <c r="D24" s="232"/>
      <c r="E24" s="16"/>
    </row>
    <row r="25" spans="1:7">
      <c r="A25" s="174" t="s">
        <v>78</v>
      </c>
      <c r="B25" s="38">
        <f>aantalw2001_stookolie</f>
        <v>1854</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3720</v>
      </c>
      <c r="C28" s="37"/>
      <c r="D28" s="231"/>
    </row>
    <row r="29" spans="1:7" s="16" customFormat="1">
      <c r="A29" s="233" t="s">
        <v>666</v>
      </c>
      <c r="B29" s="38">
        <f>SUM(HH_hh_gas_aantal,HH_rest_gas_aantal)</f>
        <v>1927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1927</v>
      </c>
      <c r="C32" s="170">
        <f>IF(ISERROR(B32/SUM($B$32,$B$34,$B$35,$B$36,$B$38,$B$39)*100),0,B32/SUM($B$32,$B$34,$B$35,$B$36,$B$38,$B$39)*100)</f>
        <v>51.898734177215204</v>
      </c>
      <c r="D32" s="236"/>
      <c r="G32" s="16"/>
    </row>
    <row r="33" spans="1:7">
      <c r="A33" s="174" t="s">
        <v>72</v>
      </c>
      <c r="B33" s="35" t="s">
        <v>111</v>
      </c>
      <c r="C33" s="170"/>
      <c r="D33" s="236"/>
      <c r="G33" s="16"/>
    </row>
    <row r="34" spans="1:7">
      <c r="A34" s="174" t="s">
        <v>73</v>
      </c>
      <c r="B34" s="34">
        <f>IF((($B$28-$B$32-$B$39-$B$77-$B$38)*C20/100)&lt;0,0,($B$28-$B$32-$B$39-$B$77-$B$38)*C20/100)</f>
        <v>82.609561752988029</v>
      </c>
      <c r="C34" s="170">
        <f>IF(ISERROR(B34/SUM($B$32,$B$34,$B$35,$B$36,$B$38,$B$39)*100),0,B34/SUM($B$32,$B$34,$B$35,$B$36,$B$38,$B$39)*100)</f>
        <v>2.2248737342576903</v>
      </c>
      <c r="D34" s="236"/>
      <c r="G34" s="16"/>
    </row>
    <row r="35" spans="1:7">
      <c r="A35" s="174" t="s">
        <v>74</v>
      </c>
      <c r="B35" s="34">
        <f>IF((($B$28-$B$32-$B$39-$B$77-$B$38)*C21/100)&lt;0,0,($B$28-$B$32-$B$39-$B$77-$B$38)*C21/100)</f>
        <v>566.87250996015928</v>
      </c>
      <c r="C35" s="170">
        <f>IF(ISERROR(B35/SUM($B$32,$B$34,$B$35,$B$36,$B$38,$B$39)*100),0,B35/SUM($B$32,$B$34,$B$35,$B$36,$B$38,$B$39)*100)</f>
        <v>15.267237004044151</v>
      </c>
      <c r="D35" s="236"/>
      <c r="G35" s="16"/>
    </row>
    <row r="36" spans="1:7">
      <c r="A36" s="174" t="s">
        <v>75</v>
      </c>
      <c r="B36" s="34">
        <f>IF((($B$28-$B$32-$B$39-$B$77-$B$38)*C22/100)&lt;0,0,($B$28-$B$32-$B$39-$B$77-$B$38)*C22/100)</f>
        <v>65.517928286852595</v>
      </c>
      <c r="C36" s="170">
        <f>IF(ISERROR(B36/SUM($B$32,$B$34,$B$35,$B$36,$B$38,$B$39)*100),0,B36/SUM($B$32,$B$34,$B$35,$B$36,$B$38,$B$39)*100)</f>
        <v>1.7645550306181688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1071</v>
      </c>
      <c r="C39" s="170">
        <f>IF(ISERROR(B39/SUM($B$32,$B$34,$B$35,$B$36,$B$38,$B$39)*100),0,B39/SUM($B$32,$B$34,$B$35,$B$36,$B$38,$B$39)*100)</f>
        <v>28.844600053864806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1927</v>
      </c>
      <c r="C44" s="35" t="s">
        <v>111</v>
      </c>
      <c r="D44" s="177"/>
    </row>
    <row r="45" spans="1:7">
      <c r="A45" s="174" t="s">
        <v>72</v>
      </c>
      <c r="B45" s="34" t="str">
        <f t="shared" si="0"/>
        <v>-</v>
      </c>
      <c r="C45" s="35" t="s">
        <v>111</v>
      </c>
      <c r="D45" s="177"/>
    </row>
    <row r="46" spans="1:7">
      <c r="A46" s="174" t="s">
        <v>73</v>
      </c>
      <c r="B46" s="34">
        <f t="shared" si="0"/>
        <v>82.609561752988029</v>
      </c>
      <c r="C46" s="35" t="s">
        <v>111</v>
      </c>
      <c r="D46" s="177"/>
    </row>
    <row r="47" spans="1:7">
      <c r="A47" s="174" t="s">
        <v>74</v>
      </c>
      <c r="B47" s="34">
        <f t="shared" si="0"/>
        <v>566.87250996015928</v>
      </c>
      <c r="C47" s="35" t="s">
        <v>111</v>
      </c>
      <c r="D47" s="177"/>
    </row>
    <row r="48" spans="1:7">
      <c r="A48" s="174" t="s">
        <v>75</v>
      </c>
      <c r="B48" s="34">
        <f t="shared" si="0"/>
        <v>65.517928286852595</v>
      </c>
      <c r="C48" s="34">
        <f>B48*10</f>
        <v>655.17928286852589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1071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8863.9359436055347</v>
      </c>
      <c r="C5" s="18">
        <f>IF(ISERROR('Eigen informatie GS &amp; warmtenet'!B58),0,'Eigen informatie GS &amp; warmtenet'!B58)</f>
        <v>0</v>
      </c>
      <c r="D5" s="31">
        <f>SUM(D6:D12)</f>
        <v>7183.8883439669335</v>
      </c>
      <c r="E5" s="18">
        <f>SUM(E6:E12)</f>
        <v>66.196708429730762</v>
      </c>
      <c r="F5" s="18">
        <f>SUM(F6:F12)</f>
        <v>1974.7683665125642</v>
      </c>
      <c r="G5" s="19"/>
      <c r="H5" s="18"/>
      <c r="I5" s="18"/>
      <c r="J5" s="18">
        <f>SUM(J6:J12)</f>
        <v>0</v>
      </c>
      <c r="K5" s="18"/>
      <c r="L5" s="18"/>
      <c r="M5" s="18"/>
      <c r="N5" s="18">
        <f>SUM(N6:N12)</f>
        <v>1593.8563611141274</v>
      </c>
      <c r="O5" s="18">
        <f>B38*B39*B40</f>
        <v>0</v>
      </c>
      <c r="P5" s="18">
        <f>B46*B47*B48/1000-B46*B47*B48/1000/B49</f>
        <v>0</v>
      </c>
      <c r="R5" s="33"/>
    </row>
    <row r="6" spans="1:18">
      <c r="A6" s="33" t="s">
        <v>54</v>
      </c>
      <c r="B6" s="38">
        <f>B26</f>
        <v>1982.60487401921</v>
      </c>
      <c r="C6" s="34"/>
      <c r="D6" s="38">
        <f>IF(ISERROR(TER_kantoor_gas_kWh/1000),0,TER_kantoor_gas_kWh/1000)*0.902</f>
        <v>2667.6532356263851</v>
      </c>
      <c r="E6" s="34">
        <f>$C$26*'E Balans VL '!I12/100/3.6*1000000</f>
        <v>3.253856424391556</v>
      </c>
      <c r="F6" s="34">
        <f>$C$26*('E Balans VL '!L12+'E Balans VL '!N12)/100/3.6*1000000</f>
        <v>233.7024664873862</v>
      </c>
      <c r="G6" s="35"/>
      <c r="H6" s="34"/>
      <c r="I6" s="34"/>
      <c r="J6" s="34">
        <f>$C$26*('E Balans VL '!D12+'E Balans VL '!E12)/100/3.6*1000000</f>
        <v>0</v>
      </c>
      <c r="K6" s="34"/>
      <c r="L6" s="34"/>
      <c r="M6" s="34"/>
      <c r="N6" s="34">
        <f>$C$26*'E Balans VL '!Y12/100/3.6*1000000</f>
        <v>0.4005759263928988</v>
      </c>
      <c r="O6" s="34"/>
      <c r="P6" s="34"/>
      <c r="R6" s="33"/>
    </row>
    <row r="7" spans="1:18">
      <c r="A7" s="33" t="s">
        <v>53</v>
      </c>
      <c r="B7" s="38">
        <f t="shared" ref="B7:B12" si="0">B27</f>
        <v>327.83433087338199</v>
      </c>
      <c r="C7" s="34"/>
      <c r="D7" s="38">
        <f>IF(ISERROR(TER_horeca_gas_kWh/1000),0,TER_horeca_gas_kWh/1000)*0.902</f>
        <v>353.99622708090777</v>
      </c>
      <c r="E7" s="34">
        <f>$C$27*'E Balans VL '!I9/100/3.6*1000000</f>
        <v>17.012229512345854</v>
      </c>
      <c r="F7" s="34">
        <f>$C$27*('E Balans VL '!L9+'E Balans VL '!N9)/100/3.6*1000000</f>
        <v>74.812032183075232</v>
      </c>
      <c r="G7" s="35"/>
      <c r="H7" s="34"/>
      <c r="I7" s="34"/>
      <c r="J7" s="34">
        <f>$C$27*('E Balans VL '!D9+'E Balans VL '!E9)/100/3.6*1000000</f>
        <v>0</v>
      </c>
      <c r="K7" s="34"/>
      <c r="L7" s="34"/>
      <c r="M7" s="34"/>
      <c r="N7" s="34">
        <f>$C$27*'E Balans VL '!Y9/100/3.6*1000000</f>
        <v>3.4619155103592585E-2</v>
      </c>
      <c r="O7" s="34"/>
      <c r="P7" s="34"/>
      <c r="R7" s="33"/>
    </row>
    <row r="8" spans="1:18">
      <c r="A8" s="6" t="s">
        <v>52</v>
      </c>
      <c r="B8" s="38">
        <f t="shared" si="0"/>
        <v>944.03363941428802</v>
      </c>
      <c r="C8" s="34"/>
      <c r="D8" s="38">
        <f>IF(ISERROR(TER_handel_gas_kWh/1000),0,TER_handel_gas_kWh/1000)*0.902</f>
        <v>111.90447040579377</v>
      </c>
      <c r="E8" s="34">
        <f>$C$28*'E Balans VL '!I13/100/3.6*1000000</f>
        <v>5.0837371545617396</v>
      </c>
      <c r="F8" s="34">
        <f>$C$28*('E Balans VL '!L13+'E Balans VL '!N13)/100/3.6*1000000</f>
        <v>192.51651322958998</v>
      </c>
      <c r="G8" s="35"/>
      <c r="H8" s="34"/>
      <c r="I8" s="34"/>
      <c r="J8" s="34">
        <f>$C$28*('E Balans VL '!D13+'E Balans VL '!E13)/100/3.6*1000000</f>
        <v>0</v>
      </c>
      <c r="K8" s="34"/>
      <c r="L8" s="34"/>
      <c r="M8" s="34"/>
      <c r="N8" s="34">
        <f>$C$28*'E Balans VL '!Y13/100/3.6*1000000</f>
        <v>4.6941807589254498</v>
      </c>
      <c r="O8" s="34"/>
      <c r="P8" s="34"/>
      <c r="R8" s="33"/>
    </row>
    <row r="9" spans="1:18">
      <c r="A9" s="33" t="s">
        <v>51</v>
      </c>
      <c r="B9" s="38">
        <f t="shared" si="0"/>
        <v>847.26449896418592</v>
      </c>
      <c r="C9" s="34"/>
      <c r="D9" s="38">
        <f>IF(ISERROR(TER_gezond_gas_kWh/1000),0,TER_gezond_gas_kWh/1000)*0.902</f>
        <v>958.51080821774769</v>
      </c>
      <c r="E9" s="34">
        <f>$C$29*'E Balans VL '!I10/100/3.6*1000000</f>
        <v>0.83964875352551449</v>
      </c>
      <c r="F9" s="34">
        <f>$C$29*('E Balans VL '!L10+'E Balans VL '!N10)/100/3.6*1000000</f>
        <v>293.97635967830348</v>
      </c>
      <c r="G9" s="35"/>
      <c r="H9" s="34"/>
      <c r="I9" s="34"/>
      <c r="J9" s="34">
        <f>$C$29*('E Balans VL '!D10+'E Balans VL '!E10)/100/3.6*1000000</f>
        <v>0</v>
      </c>
      <c r="K9" s="34"/>
      <c r="L9" s="34"/>
      <c r="M9" s="34"/>
      <c r="N9" s="34">
        <f>$C$29*'E Balans VL '!Y10/100/3.6*1000000</f>
        <v>7.3008047894027364</v>
      </c>
      <c r="O9" s="34"/>
      <c r="P9" s="34"/>
      <c r="R9" s="33"/>
    </row>
    <row r="10" spans="1:18">
      <c r="A10" s="33" t="s">
        <v>50</v>
      </c>
      <c r="B10" s="38">
        <f t="shared" si="0"/>
        <v>2481.3398133181699</v>
      </c>
      <c r="C10" s="34"/>
      <c r="D10" s="38">
        <f>IF(ISERROR(TER_ander_gas_kWh/1000),0,TER_ander_gas_kWh/1000)*0.902</f>
        <v>350.68975031774062</v>
      </c>
      <c r="E10" s="34">
        <f>$C$30*'E Balans VL '!I14/100/3.6*1000000</f>
        <v>20.299839595471326</v>
      </c>
      <c r="F10" s="34">
        <f>$C$30*('E Balans VL '!L14+'E Balans VL '!N14)/100/3.6*1000000</f>
        <v>725.44274188655754</v>
      </c>
      <c r="G10" s="35"/>
      <c r="H10" s="34"/>
      <c r="I10" s="34"/>
      <c r="J10" s="34">
        <f>$C$30*('E Balans VL '!D14+'E Balans VL '!E14)/100/3.6*1000000</f>
        <v>0</v>
      </c>
      <c r="K10" s="34"/>
      <c r="L10" s="34"/>
      <c r="M10" s="34"/>
      <c r="N10" s="34">
        <f>$C$30*'E Balans VL '!Y14/100/3.6*1000000</f>
        <v>1431.4074929914404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2280.8587870163001</v>
      </c>
      <c r="C12" s="34"/>
      <c r="D12" s="38">
        <f>IF(ISERROR(TER_rest_gas_kWh/1000),0,TER_rest_gas_kWh/1000)*0.902</f>
        <v>2741.1338523183585</v>
      </c>
      <c r="E12" s="34">
        <f>$C$32*'E Balans VL '!I8/100/3.6*1000000</f>
        <v>19.707396989434773</v>
      </c>
      <c r="F12" s="34">
        <f>$C$32*('E Balans VL '!L8+'E Balans VL '!N8)/100/3.6*1000000</f>
        <v>454.31825304765164</v>
      </c>
      <c r="G12" s="35"/>
      <c r="H12" s="34"/>
      <c r="I12" s="34"/>
      <c r="J12" s="34">
        <f>$C$32*('E Balans VL '!D8+'E Balans VL '!E8)/100/3.6*1000000</f>
        <v>0</v>
      </c>
      <c r="K12" s="34"/>
      <c r="L12" s="34"/>
      <c r="M12" s="34"/>
      <c r="N12" s="34">
        <f>$C$32*'E Balans VL '!Y8/100/3.6*1000000</f>
        <v>150.01868749286214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8863.9359436055347</v>
      </c>
      <c r="C16" s="22">
        <f t="shared" ca="1" si="1"/>
        <v>0</v>
      </c>
      <c r="D16" s="22">
        <f t="shared" ca="1" si="1"/>
        <v>7183.8883439669335</v>
      </c>
      <c r="E16" s="22">
        <f t="shared" si="1"/>
        <v>66.196708429730762</v>
      </c>
      <c r="F16" s="22">
        <f t="shared" ca="1" si="1"/>
        <v>1974.7683665125642</v>
      </c>
      <c r="G16" s="22">
        <f t="shared" si="1"/>
        <v>0</v>
      </c>
      <c r="H16" s="22">
        <f t="shared" si="1"/>
        <v>0</v>
      </c>
      <c r="I16" s="22">
        <f t="shared" si="1"/>
        <v>0</v>
      </c>
      <c r="J16" s="22">
        <f t="shared" si="1"/>
        <v>0</v>
      </c>
      <c r="K16" s="22">
        <f t="shared" si="1"/>
        <v>0</v>
      </c>
      <c r="L16" s="22">
        <f t="shared" ca="1" si="1"/>
        <v>0</v>
      </c>
      <c r="M16" s="22">
        <f t="shared" si="1"/>
        <v>0</v>
      </c>
      <c r="N16" s="22">
        <f t="shared" ca="1" si="1"/>
        <v>1593.8563611141274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0.20748994309757637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1839.1775645592743</v>
      </c>
      <c r="C20" s="24">
        <f t="shared" ref="C20:P20" ca="1" si="2">C16*C18</f>
        <v>0</v>
      </c>
      <c r="D20" s="24">
        <f t="shared" ca="1" si="2"/>
        <v>1451.1454454813206</v>
      </c>
      <c r="E20" s="24">
        <f t="shared" si="2"/>
        <v>15.026652813548884</v>
      </c>
      <c r="F20" s="24">
        <f t="shared" ca="1" si="2"/>
        <v>527.26315385885471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1982.60487401921</v>
      </c>
      <c r="C26" s="40">
        <f>IF(ISERROR(B26*3.6/1000000/'E Balans VL '!Z12*100),0,B26*3.6/1000000/'E Balans VL '!Z12*100)</f>
        <v>4.2128931785405659E-2</v>
      </c>
      <c r="D26" s="240" t="s">
        <v>707</v>
      </c>
      <c r="F26" s="6"/>
    </row>
    <row r="27" spans="1:18">
      <c r="A27" s="234" t="s">
        <v>53</v>
      </c>
      <c r="B27" s="34">
        <f>IF(ISERROR(TER_horeca_ele_kWh/1000),0,TER_horeca_ele_kWh/1000)</f>
        <v>327.83433087338199</v>
      </c>
      <c r="C27" s="40">
        <f>IF(ISERROR(B27*3.6/1000000/'E Balans VL '!Z9*100),0,B27*3.6/1000000/'E Balans VL '!Z9*100)</f>
        <v>2.5803096971621805E-2</v>
      </c>
      <c r="D27" s="240" t="s">
        <v>707</v>
      </c>
      <c r="F27" s="6"/>
    </row>
    <row r="28" spans="1:18">
      <c r="A28" s="174" t="s">
        <v>52</v>
      </c>
      <c r="B28" s="34">
        <f>IF(ISERROR(TER_handel_ele_kWh/1000),0,TER_handel_ele_kWh/1000)</f>
        <v>944.03363941428802</v>
      </c>
      <c r="C28" s="40">
        <f>IF(ISERROR(B28*3.6/1000000/'E Balans VL '!Z13*100),0,B28*3.6/1000000/'E Balans VL '!Z13*100)</f>
        <v>2.6442887466851816E-2</v>
      </c>
      <c r="D28" s="240" t="s">
        <v>707</v>
      </c>
      <c r="F28" s="6"/>
    </row>
    <row r="29" spans="1:18">
      <c r="A29" s="234" t="s">
        <v>51</v>
      </c>
      <c r="B29" s="34">
        <f>IF(ISERROR(TER_gezond_ele_kWh/1000),0,TER_gezond_ele_kWh/1000)</f>
        <v>847.26449896418592</v>
      </c>
      <c r="C29" s="40">
        <f>IF(ISERROR(B29*3.6/1000000/'E Balans VL '!Z10*100),0,B29*3.6/1000000/'E Balans VL '!Z10*100)</f>
        <v>0.10839074966412819</v>
      </c>
      <c r="D29" s="240" t="s">
        <v>707</v>
      </c>
      <c r="F29" s="6"/>
    </row>
    <row r="30" spans="1:18">
      <c r="A30" s="234" t="s">
        <v>50</v>
      </c>
      <c r="B30" s="34">
        <f>IF(ISERROR(TER_ander_ele_kWh/1000),0,TER_ander_ele_kWh/1000)</f>
        <v>2481.3398133181699</v>
      </c>
      <c r="C30" s="40">
        <f>IF(ISERROR(B30*3.6/1000000/'E Balans VL '!Z14*100),0,B30*3.6/1000000/'E Balans VL '!Z14*100)</f>
        <v>0.18558330990169</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2280.8587870163001</v>
      </c>
      <c r="C32" s="40">
        <f>IF(ISERROR(B32*3.6/1000000/'E Balans VL '!Z8*100),0,B32*3.6/1000000/'E Balans VL '!Z8*100)</f>
        <v>1.8789559738301397E-2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652.89435612261605</v>
      </c>
      <c r="C5" s="18">
        <f>IF(ISERROR('Eigen informatie GS &amp; warmtenet'!B59),0,'Eigen informatie GS &amp; warmtenet'!B59)</f>
        <v>0</v>
      </c>
      <c r="D5" s="31">
        <f>SUM(D6:D15)</f>
        <v>616.34190494406994</v>
      </c>
      <c r="E5" s="18">
        <f>SUM(E6:E15)</f>
        <v>5.2319545206859068</v>
      </c>
      <c r="F5" s="18">
        <f>SUM(F6:F15)</f>
        <v>258.30485890506105</v>
      </c>
      <c r="G5" s="19"/>
      <c r="H5" s="18"/>
      <c r="I5" s="18"/>
      <c r="J5" s="18">
        <f>SUM(J6:J15)</f>
        <v>1.3260857220410882</v>
      </c>
      <c r="K5" s="18"/>
      <c r="L5" s="18"/>
      <c r="M5" s="18"/>
      <c r="N5" s="18">
        <f>SUM(N6:N15)</f>
        <v>28.349541174629923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238.936001077828</v>
      </c>
      <c r="C9" s="34"/>
      <c r="D9" s="38">
        <f>IF( ISERROR(IND_andere_gas_kWh/1000),0,IND_andere_gas_kWh/1000)*0.902</f>
        <v>98.506249064702331</v>
      </c>
      <c r="E9" s="34">
        <f>C31*'E Balans VL '!I19/100/3.6*1000000</f>
        <v>1.3810857922618547</v>
      </c>
      <c r="F9" s="34">
        <f>C31*'E Balans VL '!L19/100/3.6*1000000+C31*'E Balans VL '!N19/100/3.6*1000000</f>
        <v>190.08508600282525</v>
      </c>
      <c r="G9" s="35"/>
      <c r="H9" s="34"/>
      <c r="I9" s="34"/>
      <c r="J9" s="41">
        <f>C31*'E Balans VL '!D19/100/3.6*1000000+C31*'E Balans VL '!E19/100/3.6*1000000</f>
        <v>2.2600691676034651E-2</v>
      </c>
      <c r="K9" s="34"/>
      <c r="L9" s="34"/>
      <c r="M9" s="34"/>
      <c r="N9" s="34">
        <f>C31*'E Balans VL '!Y19/100/3.6*1000000</f>
        <v>18.103017973562984</v>
      </c>
      <c r="O9" s="34"/>
      <c r="P9" s="34"/>
      <c r="R9" s="33"/>
    </row>
    <row r="10" spans="1:18">
      <c r="A10" s="6" t="s">
        <v>41</v>
      </c>
      <c r="B10" s="38">
        <f t="shared" si="0"/>
        <v>154.874225865341</v>
      </c>
      <c r="C10" s="34"/>
      <c r="D10" s="38">
        <f>IF( ISERROR(IND_voed_gas_kWh/1000),0,IND_voed_gas_kWh/1000)*0.902</f>
        <v>0</v>
      </c>
      <c r="E10" s="34">
        <f>C32*'E Balans VL '!I20/100/3.6*1000000</f>
        <v>1.5228188146659136</v>
      </c>
      <c r="F10" s="34">
        <f>C32*'E Balans VL '!L20/100/3.6*1000000+C32*'E Balans VL '!N20/100/3.6*1000000</f>
        <v>17.200804300541758</v>
      </c>
      <c r="G10" s="35"/>
      <c r="H10" s="34"/>
      <c r="I10" s="34"/>
      <c r="J10" s="41">
        <f>C32*'E Balans VL '!D20/100/3.6*1000000+C32*'E Balans VL '!E20/100/3.6*1000000</f>
        <v>6.1042963280321706E-4</v>
      </c>
      <c r="K10" s="34"/>
      <c r="L10" s="34"/>
      <c r="M10" s="34"/>
      <c r="N10" s="34">
        <f>C32*'E Balans VL '!Y20/100/3.6*1000000</f>
        <v>2.2933229824861576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259.08412917944696</v>
      </c>
      <c r="C15" s="34"/>
      <c r="D15" s="38">
        <f>IF( ISERROR(IND_rest_gas_kWh/1000),0,IND_rest_gas_kWh/1000)*0.902</f>
        <v>517.83565587936755</v>
      </c>
      <c r="E15" s="34">
        <f>C37*'E Balans VL '!I15/100/3.6*1000000</f>
        <v>2.3280499137581381</v>
      </c>
      <c r="F15" s="34">
        <f>C37*'E Balans VL '!L15/100/3.6*1000000+C37*'E Balans VL '!N15/100/3.6*1000000</f>
        <v>51.018968601694063</v>
      </c>
      <c r="G15" s="35"/>
      <c r="H15" s="34"/>
      <c r="I15" s="34"/>
      <c r="J15" s="41">
        <f>C37*'E Balans VL '!D15/100/3.6*1000000+C37*'E Balans VL '!E15/100/3.6*1000000</f>
        <v>1.3028746007322503</v>
      </c>
      <c r="K15" s="34"/>
      <c r="L15" s="34"/>
      <c r="M15" s="34"/>
      <c r="N15" s="34">
        <f>C37*'E Balans VL '!Y15/100/3.6*1000000</f>
        <v>7.9532002185807826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652.89435612261605</v>
      </c>
      <c r="C18" s="22">
        <f>C5+C16</f>
        <v>0</v>
      </c>
      <c r="D18" s="22">
        <f>MAX((D5+D16),0)</f>
        <v>616.34190494406994</v>
      </c>
      <c r="E18" s="22">
        <f>MAX((E5+E16),0)</f>
        <v>5.2319545206859068</v>
      </c>
      <c r="F18" s="22">
        <f>MAX((F5+F16),0)</f>
        <v>258.30485890506105</v>
      </c>
      <c r="G18" s="22"/>
      <c r="H18" s="22"/>
      <c r="I18" s="22"/>
      <c r="J18" s="22">
        <f>MAX((J5+J16),0)</f>
        <v>1.3260857220410882</v>
      </c>
      <c r="K18" s="22"/>
      <c r="L18" s="22">
        <f>MAX((L5+L16),0)</f>
        <v>0</v>
      </c>
      <c r="M18" s="22"/>
      <c r="N18" s="22">
        <f>MAX((N5+N16),0)</f>
        <v>28.349541174629923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0.20748994309757637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135.46901280061036</v>
      </c>
      <c r="C22" s="24">
        <f ca="1">C18*C20</f>
        <v>0</v>
      </c>
      <c r="D22" s="24">
        <f>D18*D20</f>
        <v>124.50106479870213</v>
      </c>
      <c r="E22" s="24">
        <f>E18*E20</f>
        <v>1.1876536761957008</v>
      </c>
      <c r="F22" s="24">
        <f>F18*F20</f>
        <v>68.967397327651298</v>
      </c>
      <c r="G22" s="24"/>
      <c r="H22" s="24"/>
      <c r="I22" s="24"/>
      <c r="J22" s="24">
        <f>J18*J20</f>
        <v>0.46943434560254521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238.936001077828</v>
      </c>
      <c r="C31" s="40">
        <f>IF(ISERROR(B31*3.6/1000000/'E Balans VL '!Z19*100),0,B31*3.6/1000000/'E Balans VL '!Z19*100)</f>
        <v>1.1107507171839556E-2</v>
      </c>
      <c r="D31" s="240" t="s">
        <v>707</v>
      </c>
    </row>
    <row r="32" spans="1:18">
      <c r="A32" s="174" t="s">
        <v>41</v>
      </c>
      <c r="B32" s="38">
        <f>IF( ISERROR(IND_voed_ele_kWh/1000),0,IND_voed_ele_kWh/1000)</f>
        <v>154.874225865341</v>
      </c>
      <c r="C32" s="40">
        <f>IF(ISERROR(B32*3.6/1000000/'E Balans VL '!Z20*100),0,B32*3.6/1000000/'E Balans VL '!Z20*100)</f>
        <v>5.4744911025942245E-3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259.08412917944696</v>
      </c>
      <c r="C37" s="40">
        <f>IF(ISERROR(B37*3.6/1000000/'E Balans VL '!Z15*100),0,B37*3.6/1000000/'E Balans VL '!Z15*100)</f>
        <v>1.9564679004373912E-3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180.667553922358</v>
      </c>
      <c r="C5" s="18">
        <f>'Eigen informatie GS &amp; warmtenet'!B60</f>
        <v>0</v>
      </c>
      <c r="D5" s="31">
        <f>IF(ISERROR(SUM(LB_lb_gas_kWh,LB_rest_gas_kWh,onbekend_gas_kWh)/1000),0,SUM(LB_lb_gas_kWh,LB_rest_gas_kWh,onbekend_gas_kWh)/1000)*0.902</f>
        <v>966.07036826097146</v>
      </c>
      <c r="E5" s="18">
        <f>B17*'E Balans VL '!I25/3.6*1000000/100</f>
        <v>1.702009409180596</v>
      </c>
      <c r="F5" s="18">
        <f>B17*('E Balans VL '!L25/3.6*1000000+'E Balans VL '!N25/3.6*1000000)/100</f>
        <v>589.57818674406781</v>
      </c>
      <c r="G5" s="19"/>
      <c r="H5" s="18"/>
      <c r="I5" s="18"/>
      <c r="J5" s="18">
        <f>('E Balans VL '!D25+'E Balans VL '!E25)/3.6*1000000*landbouw!B17/100</f>
        <v>22.349455187009163</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180.667553922358</v>
      </c>
      <c r="C8" s="22">
        <f>C5+C6</f>
        <v>0</v>
      </c>
      <c r="D8" s="22">
        <f>MAX((D5+D6),0)</f>
        <v>966.07036826097146</v>
      </c>
      <c r="E8" s="22">
        <f>MAX((E5+E6),0)</f>
        <v>1.702009409180596</v>
      </c>
      <c r="F8" s="22">
        <f>MAX((F5+F6),0)</f>
        <v>589.57818674406781</v>
      </c>
      <c r="G8" s="22"/>
      <c r="H8" s="22"/>
      <c r="I8" s="22"/>
      <c r="J8" s="22">
        <f>MAX((J5+J6),0)</f>
        <v>22.349455187009163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0.20748994309757637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37.48670048292837</v>
      </c>
      <c r="C12" s="24">
        <f ca="1">C8*C10</f>
        <v>0</v>
      </c>
      <c r="D12" s="24">
        <f>D8*D10</f>
        <v>195.14621438871626</v>
      </c>
      <c r="E12" s="24">
        <f>E8*E10</f>
        <v>0.38635613588399531</v>
      </c>
      <c r="F12" s="24">
        <f>F8*F10</f>
        <v>157.41737586066611</v>
      </c>
      <c r="G12" s="24"/>
      <c r="H12" s="24"/>
      <c r="I12" s="24"/>
      <c r="J12" s="24">
        <f>J8*J10</f>
        <v>7.911707136201243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2.4459499825863443E-2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91.473166468397238</v>
      </c>
      <c r="C26" s="250">
        <f>B26*'GWP N2O_CH4'!B5</f>
        <v>1920.9364958363419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9.9343969848770932</v>
      </c>
      <c r="C27" s="250">
        <f>B27*'GWP N2O_CH4'!B5</f>
        <v>208.62233668241896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1.3830328067707538</v>
      </c>
      <c r="C28" s="250">
        <f>B28*'GWP N2O_CH4'!B4</f>
        <v>428.74017009893367</v>
      </c>
      <c r="D28" s="51"/>
    </row>
    <row r="29" spans="1:4">
      <c r="A29" s="42" t="s">
        <v>277</v>
      </c>
      <c r="B29" s="250">
        <f>B34*'ha_N2O bodem landbouw'!B4</f>
        <v>9.9552335617235439</v>
      </c>
      <c r="C29" s="250">
        <f>B29*'GWP N2O_CH4'!B4</f>
        <v>3086.1224041342984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2.6875996682563957E-3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1.8680033985992667E-5</v>
      </c>
      <c r="C5" s="447" t="s">
        <v>211</v>
      </c>
      <c r="D5" s="432">
        <f>SUM(D6:D11)</f>
        <v>5.1545883963941625E-5</v>
      </c>
      <c r="E5" s="432">
        <f>SUM(E6:E11)</f>
        <v>3.489023275974802E-3</v>
      </c>
      <c r="F5" s="445" t="s">
        <v>211</v>
      </c>
      <c r="G5" s="432">
        <f>SUM(G6:G11)</f>
        <v>0.62364121010798712</v>
      </c>
      <c r="H5" s="432">
        <f>SUM(H6:H11)</f>
        <v>0.11892635932494355</v>
      </c>
      <c r="I5" s="447" t="s">
        <v>211</v>
      </c>
      <c r="J5" s="447" t="s">
        <v>211</v>
      </c>
      <c r="K5" s="447" t="s">
        <v>211</v>
      </c>
      <c r="L5" s="447" t="s">
        <v>211</v>
      </c>
      <c r="M5" s="432">
        <f>SUM(M6:M11)</f>
        <v>3.3210978787963058E-2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3.2533683710392504E-6</v>
      </c>
      <c r="C6" s="433"/>
      <c r="D6" s="433">
        <f>vkm_2011_GW_PW*SUMIFS(TableVerdeelsleutelVkm[CNG],TableVerdeelsleutelVkm[Voertuigtype],"Lichte voertuigen")*SUMIFS(TableECFTransport[EnergieConsumptieFactor (PJ per km)],TableECFTransport[Index],CONCATENATE($A6,"_CNG_CNG"))</f>
        <v>7.9447800465842719E-6</v>
      </c>
      <c r="E6" s="435">
        <f>vkm_2011_GW_PW*SUMIFS(TableVerdeelsleutelVkm[LPG],TableVerdeelsleutelVkm[Voertuigtype],"Lichte voertuigen")*SUMIFS(TableECFTransport[EnergieConsumptieFactor (PJ per km)],TableECFTransport[Index],CONCATENATE($A6,"_LPG_LPG"))</f>
        <v>4.7092550364238357E-4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6.8077821272548938E-2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1.7841241115959805E-2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3.8476138434156717E-3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4.7507864027968591E-3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1.9167570959349938E-6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2.1164606436157915E-4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2.4880086717141156E-6</v>
      </c>
      <c r="C8" s="433"/>
      <c r="D8" s="435">
        <f>vkm_2011_NGW_PW*SUMIFS(TableVerdeelsleutelVkm[CNG],TableVerdeelsleutelVkm[Voertuigtype],"Lichte voertuigen")*SUMIFS(TableECFTransport[EnergieConsumptieFactor (PJ per km)],TableECFTransport[Index],CONCATENATE($A8,"_CNG_CNG"))</f>
        <v>1.0900943642908282E-5</v>
      </c>
      <c r="E8" s="435">
        <f>vkm_2011_NGW_PW*SUMIFS(TableVerdeelsleutelVkm[LPG],TableVerdeelsleutelVkm[Voertuigtype],"Lichte voertuigen")*SUMIFS(TableECFTransport[EnergieConsumptieFactor (PJ per km)],TableECFTransport[Index],CONCATENATE($A8,"_LPG_LPG"))</f>
        <v>5.9277930088671928E-4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8.0953096973546135E-2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2.3441755315628129E-2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4.6771226058571706E-3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4.4998764595847165E-3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1.5807693774390821E-6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2.0045736676228029E-4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1.2938656943239303E-5</v>
      </c>
      <c r="C10" s="433"/>
      <c r="D10" s="435">
        <f>vkm_2011_SW_PW*SUMIFS(TableVerdeelsleutelVkm[CNG],TableVerdeelsleutelVkm[Voertuigtype],"Lichte voertuigen")*SUMIFS(TableECFTransport[EnergieConsumptieFactor (PJ per km)],TableECFTransport[Index],CONCATENATE($A10,"_CNG_CNG"))</f>
        <v>3.2700160274449069E-5</v>
      </c>
      <c r="E10" s="435">
        <f>vkm_2011_SW_PW*SUMIFS(TableVerdeelsleutelVkm[LPG],TableVerdeelsleutelVkm[Voertuigtype],"Lichte voertuigen")*SUMIFS(TableECFTransport[EnergieConsumptieFactor (PJ per km)],TableECFTransport[Index],CONCATENATE($A10,"_LPG_LPG"))</f>
        <v>2.4253184714456994E-3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0.31952214372576204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7.7577439427918449E-2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1.7776960034522157E-2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0.1458374852737484</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6.2425938963795103E-5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6.4971788730442005E-3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5.1888983294424076</v>
      </c>
      <c r="C14" s="22"/>
      <c r="D14" s="22">
        <f t="shared" ref="D14:M14" si="0">((D5)*10^9/3600)+D12</f>
        <v>14.318301101094896</v>
      </c>
      <c r="E14" s="22">
        <f t="shared" si="0"/>
        <v>969.17313221522284</v>
      </c>
      <c r="F14" s="22"/>
      <c r="G14" s="22">
        <f t="shared" si="0"/>
        <v>173233.66947444089</v>
      </c>
      <c r="H14" s="22">
        <f t="shared" si="0"/>
        <v>33035.099812484325</v>
      </c>
      <c r="I14" s="22"/>
      <c r="J14" s="22"/>
      <c r="K14" s="22"/>
      <c r="L14" s="22"/>
      <c r="M14" s="22">
        <f t="shared" si="0"/>
        <v>9225.2718855452949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0.20748994309757637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1.0766442191151142</v>
      </c>
      <c r="C18" s="24"/>
      <c r="D18" s="24">
        <f t="shared" ref="D18:M18" si="1">D14*D16</f>
        <v>2.8922968224211694</v>
      </c>
      <c r="E18" s="24">
        <f t="shared" si="1"/>
        <v>220.00230101285558</v>
      </c>
      <c r="F18" s="24"/>
      <c r="G18" s="24">
        <f t="shared" si="1"/>
        <v>46253.38974967572</v>
      </c>
      <c r="H18" s="24">
        <f t="shared" si="1"/>
        <v>8225.7398533085961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1.2315893911709794E-2</v>
      </c>
      <c r="H50" s="323">
        <f t="shared" si="2"/>
        <v>0</v>
      </c>
      <c r="I50" s="323">
        <f t="shared" si="2"/>
        <v>0</v>
      </c>
      <c r="J50" s="323">
        <f t="shared" si="2"/>
        <v>0</v>
      </c>
      <c r="K50" s="323">
        <f t="shared" si="2"/>
        <v>0</v>
      </c>
      <c r="L50" s="323">
        <f t="shared" si="2"/>
        <v>0</v>
      </c>
      <c r="M50" s="323">
        <f t="shared" si="2"/>
        <v>5.4081121800099354E-4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1.2315893911709794E-2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5.4081121800099354E-4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3421.0816421416098</v>
      </c>
      <c r="H54" s="22">
        <f t="shared" si="3"/>
        <v>0</v>
      </c>
      <c r="I54" s="22">
        <f t="shared" si="3"/>
        <v>0</v>
      </c>
      <c r="J54" s="22">
        <f t="shared" si="3"/>
        <v>0</v>
      </c>
      <c r="K54" s="22">
        <f t="shared" si="3"/>
        <v>0</v>
      </c>
      <c r="L54" s="22">
        <f t="shared" si="3"/>
        <v>0</v>
      </c>
      <c r="M54" s="22">
        <f t="shared" si="3"/>
        <v>150.22533833360933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0.20748994309757637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913.42879845180983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1685.8804305553756</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1685.8804305553756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2018-12-05T16:05:51Z</dcterms:modified>
</cp:coreProperties>
</file>