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R22"/>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J14"/>
  <c r="R10" i="14"/>
  <c r="Q9" i="48" l="1"/>
  <c r="F22" i="16"/>
  <c r="G39" i="14" s="1"/>
  <c r="G41" s="1"/>
  <c r="G53" s="1"/>
  <c r="G55" s="1"/>
  <c r="O69" s="1"/>
  <c r="B9" i="6" s="1"/>
  <c r="B12" s="1"/>
  <c r="F8" i="48"/>
  <c r="F25" s="1"/>
  <c r="F31" s="1"/>
  <c r="Q5"/>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<sst xmlns="http://schemas.openxmlformats.org/spreadsheetml/2006/main" count="2205" uniqueCount="914">
  <si>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</si>
  <si>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</si>
  <si>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</si>
  <si>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</si>
  <si>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</si>
  <si>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</si>
  <si>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</si>
  <si>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</si>
  <si>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</si>
  <si>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</si>
  <si>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</si>
  <si>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</si>
  <si>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</si>
  <si>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</si>
  <si>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</si>
  <si>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</si>
  <si>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</si>
  <si>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</si>
  <si>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</si>
  <si>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</si>
  <si>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</si>
  <si>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</si>
  <si>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</si>
  <si>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</si>
  <si>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</si>
  <si>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</si>
  <si>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</si>
  <si>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</si>
  <si>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</si>
  <si>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</si>
  <si>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</si>
  <si>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</si>
  <si>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</si>
  <si>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</si>
  <si>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</si>
  <si>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</si>
  <si>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</si>
  <si>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</si>
  <si>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</si>
  <si>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</si>
  <si>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</si>
  <si>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</si>
  <si>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</si>
  <si>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</si>
  <si>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</si>
  <si>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</si>
  <si>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</si>
  <si>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</si>
  <si>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</si>
  <si>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</si>
  <si>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</si>
  <si>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</si>
  <si>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</si>
  <si>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</si>
  <si>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</si>
  <si>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</si>
  <si>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</si>
  <si>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</si>
  <si>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</si>
  <si>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</si>
  <si>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</si>
  <si>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</si>
  <si>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</si>
  <si>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</si>
  <si>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</si>
  <si>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</si>
  <si>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</si>
  <si>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</si>
  <si>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</si>
  <si>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</si>
  <si>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</si>
  <si>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</si>
  <si>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</si>
  <si>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</si>
  <si>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</si>
  <si>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</si>
  <si>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</si>
  <si>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</si>
  <si>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</si>
  <si>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</si>
  <si>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</si>
  <si>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</si>
  <si>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</si>
  <si>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</si>
  <si>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</si>
  <si>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</si>
  <si>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</si>
  <si>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</si>
  <si>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</si>
  <si>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</si>
  <si>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</si>
  <si>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</si>
  <si>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</si>
  <si>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</si>
  <si>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</si>
  <si>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</si>
  <si>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</si>
  <si>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</si>
  <si>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</si>
  <si>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</si>
  <si>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</si>
  <si>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</si>
  <si>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</si>
  <si>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</si>
  <si>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</si>
  <si>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</si>
  <si>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</si>
  <si>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</si>
  <si>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</si>
  <si>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</si>
  <si>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</si>
  <si>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</si>
  <si>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</si>
  <si>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</si>
  <si>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</si>
  <si>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</si>
  <si>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</si>
  <si>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</si>
  <si>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</si>
  <si>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</si>
  <si>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</si>
  <si>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</si>
  <si>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</si>
  <si>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</si>
  <si>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</si>
  <si>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</si>
  <si>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</si>
  <si>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</si>
  <si>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</si>
  <si>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</si>
  <si>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</si>
  <si>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</si>
  <si>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</si>
  <si>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</si>
  <si>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</si>
  <si>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</si>
  <si>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</si>
  <si>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</si>
  <si>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</si>
  <si>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</si>
  <si>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</si>
  <si>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</si>
  <si>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</si>
  <si>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</si>
  <si>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</si>
  <si>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</si>
  <si>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</si>
  <si>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</si>
  <si>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</si>
  <si>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</si>
  <si>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</si>
  <si>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</si>
  <si>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</si>
  <si>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</si>
  <si>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</si>
  <si>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</si>
  <si>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</si>
  <si>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</si>
  <si>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</si>
  <si>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</si>
  <si>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</si>
  <si>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</si>
  <si>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</si>
  <si>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</si>
  <si>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</si>
  <si>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</si>
  <si>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</si>
  <si>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</si>
  <si>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</si>
  <si>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</si>
  <si>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</si>
  <si>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</si>
  <si>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</si>
  <si>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</si>
  <si>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</si>
  <si>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</si>
  <si>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</si>
  <si>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</si>
  <si>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</si>
  <si>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</si>
  <si>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</si>
  <si>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</si>
  <si>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</si>
  <si>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</si>
  <si>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</si>
  <si>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</si>
  <si>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</si>
  <si>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</si>
  <si>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</si>
  <si>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</si>
  <si>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</si>
  <si>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</si>
  <si>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</si>
  <si>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</si>
  <si>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</si>
  <si>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</si>
  <si>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</si>
  <si>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</si>
  <si>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</si>
  <si>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</si>
  <si>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</si>
  <si>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</si>
  <si>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</si>
  <si>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</si>
  <si>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</si>
  <si>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</si>
  <si>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</si>
  <si>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</si>
  <si>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</si>
  <si>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</si>
  <si>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</si>
  <si>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</si>
  <si>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</si>
  <si>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</si>
  <si>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</si>
  <si>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</si>
  <si>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</si>
  <si>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</si>
  <si>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</si>
  <si>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</si>
  <si>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</si>
  <si>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</si>
  <si>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</si>
  <si>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</si>
  <si>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</si>
  <si>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</si>
  <si>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</si>
  <si>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</si>
  <si>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</si>
  <si>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</si>
  <si>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</si>
  <si>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</si>
  <si>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</si>
  <si>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</si>
  <si>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</si>
  <si>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</si>
  <si>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</si>
  <si>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</si>
  <si>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</si>
  <si>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</si>
  <si>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</si>
  <si>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</si>
  <si>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</si>
  <si>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</si>
  <si>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</si>
  <si>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</si>
  <si>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</si>
  <si>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</si>
  <si>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</si>
  <si>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</si>
  <si>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</si>
  <si>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</si>
  <si>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</si>
  <si>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</si>
  <si>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</si>
  <si>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</si>
  <si>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</si>
  <si>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</si>
  <si>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</si>
  <si>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</si>
  <si>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</si>
  <si>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</si>
  <si>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</si>
  <si>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</si>
  <si>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</si>
  <si>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</si>
  <si>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</si>
  <si>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</si>
  <si>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</si>
  <si>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</si>
  <si>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</si>
  <si>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</si>
  <si>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</si>
  <si>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</si>
  <si>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</si>
  <si>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</si>
  <si>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</si>
  <si>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</si>
  <si>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</si>
  <si>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</si>
  <si>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</si>
  <si>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</si>
  <si>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</si>
  <si>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</si>
  <si>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</si>
  <si>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</si>
  <si>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</si>
  <si>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</si>
  <si>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</si>
  <si>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</si>
  <si>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</si>
  <si>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</si>
  <si>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</si>
  <si>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</si>
  <si>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</si>
  <si>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</si>
  <si>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</si>
  <si>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</si>
  <si>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</si>
  <si>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</si>
  <si>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</si>
  <si>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</si>
  <si>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</si>
  <si>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</si>
  <si>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</si>
  <si>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</si>
  <si>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</si>
  <si>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</si>
  <si>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</si>
  <si>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</si>
  <si>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</si>
  <si>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</si>
  <si>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</si>
  <si>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</si>
  <si>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</si>
  <si>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</si>
  <si>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</si>
  <si>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</si>
  <si>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</si>
  <si>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</si>
  <si>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</si>
  <si>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</si>
  <si>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</si>
  <si>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</si>
  <si>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</si>
  <si>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</si>
  <si>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</si>
  <si>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</si>
  <si>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</si>
  <si>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</si>
  <si>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</si>
  <si>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</si>
  <si>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</si>
  <si>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</si>
  <si>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</si>
  <si>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</si>
  <si>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</si>
  <si>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</si>
  <si>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</si>
  <si>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</si>
  <si>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</si>
  <si>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</si>
  <si>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</si>
  <si>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</si>
  <si>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</si>
  <si>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</si>
  <si>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</si>
  <si>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</si>
  <si>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</si>
  <si>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</si>
  <si>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</si>
  <si>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</si>
  <si>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</si>
  <si>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</si>
  <si>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</si>
  <si>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</si>
  <si>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</si>
  <si>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</si>
  <si>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</si>
  <si>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</si>
  <si>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</si>
  <si>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</si>
  <si>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</si>
  <si>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</si>
  <si>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</si>
  <si>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</si>
  <si>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</si>
  <si>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</si>
  <si>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</si>
  <si>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</si>
  <si>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</si>
  <si>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</si>
  <si>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</si>
  <si>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</si>
  <si>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</si>
  <si>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</si>
  <si>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</si>
  <si>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</si>
  <si>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</si>
  <si>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</si>
  <si>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</si>
  <si>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</si>
  <si>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</si>
  <si>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</si>
  <si>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</si>
  <si>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</si>
  <si>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</si>
  <si>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</si>
  <si>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</si>
  <si>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</si>
  <si>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</si>
  <si>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</si>
  <si>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</si>
  <si>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</si>
  <si>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</si>
  <si>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</si>
  <si>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</si>
  <si>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</si>
  <si>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</si>
  <si>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</si>
  <si>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</si>
  <si>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</si>
  <si>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</si>
  <si>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</si>
  <si>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</si>
  <si>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</si>
  <si>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</si>
  <si>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</si>
  <si>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</si>
  <si>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</si>
  <si>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</si>
  <si>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</si>
  <si>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</si>
  <si>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</si>
  <si>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</si>
  <si>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</si>
  <si>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</si>
  <si>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</si>
  <si>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</si>
  <si>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</si>
  <si>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</si>
  <si>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</si>
  <si>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</si>
  <si>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</si>
  <si>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</si>
  <si>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</si>
  <si>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</si>
  <si>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</si>
  <si>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</si>
  <si>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</si>
  <si>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</si>
  <si>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</si>
  <si>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</si>
  <si>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</si>
  <si>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</si>
  <si>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</si>
  <si>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</si>
  <si>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</si>
  <si>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</si>
  <si>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</si>
  <si>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</si>
  <si>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</si>
  <si>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</si>
  <si>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</si>
  <si>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</si>
  <si>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</si>
  <si>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</si>
  <si>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</si>
  <si>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</si>
  <si>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</si>
  <si>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</si>
  <si>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</si>
  <si>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</si>
  <si>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</si>
  <si>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</si>
  <si>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</si>
  <si>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</si>
  <si>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</si>
  <si>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</si>
  <si>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</si>
  <si>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</si>
  <si>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</si>
  <si>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</si>
  <si>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</si>
  <si>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</si>
  <si>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</si>
  <si>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</si>
  <si>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</si>
  <si>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</si>
  <si>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</si>
  <si>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</si>
  <si>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</si>
  <si>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</si>
  <si>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</si>
  <si>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</si>
  <si>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</si>
  <si>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</si>
  <si>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</si>
  <si>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</si>
  <si>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</si>
  <si>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</si>
  <si>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</si>
  <si>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</si>
  <si>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</si>
  <si>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</si>
  <si>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</si>
  <si>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</si>
  <si>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</si>
  <si>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</si>
  <si>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</si>
  <si>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</si>
  <si>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</si>
  <si>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</si>
  <si>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</si>
  <si>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</si>
  <si>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</si>
  <si>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</si>
  <si>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</si>
  <si>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</si>
  <si>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</si>
  <si>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</si>
  <si>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</si>
  <si>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</si>
  <si>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</si>
  <si>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</si>
  <si>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</si>
  <si>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</si>
  <si>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</si>
  <si>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</si>
  <si>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</si>
  <si>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</si>
  <si>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</si>
  <si>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</si>
  <si>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</si>
  <si>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</si>
  <si>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</si>
  <si>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</si>
  <si>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</si>
  <si>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</si>
  <si>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</si>
  <si>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</si>
  <si>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</si>
  <si>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</si>
  <si>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</si>
  <si>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</si>
  <si>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</si>
  <si>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</si>
  <si>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</si>
  <si>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</si>
  <si>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</si>
  <si>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</si>
  <si>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</si>
  <si>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</si>
  <si>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</si>
  <si>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</si>
  <si>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</si>
  <si>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</si>
  <si>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</si>
  <si>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</si>
  <si>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</si>
  <si>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</si>
  <si>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</si>
  <si>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</si>
  <si>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</si>
  <si>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</si>
  <si>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</si>
  <si>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</si>
  <si>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</si>
  <si>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</si>
  <si>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</si>
  <si>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</si>
  <si>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</si>
  <si>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</si>
  <si>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</si>
  <si>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</si>
  <si>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</si>
  <si>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</si>
  <si>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</si>
  <si>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</si>
  <si>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</si>
  <si>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</si>
  <si>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</si>
  <si>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</si>
  <si>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</si>
  <si>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</si>
  <si>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</si>
  <si>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</si>
  <si>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</si>
  <si>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</si>
  <si>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</si>
  <si>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</si>
  <si>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</si>
  <si>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</si>
  <si>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</si>
  <si>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</si>
  <si>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</si>
  <si>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</si>
  <si>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</si>
  <si>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</si>
  <si>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</si>
  <si>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</si>
  <si>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</si>
  <si>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</si>
  <si>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</si>
  <si>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</si>
  <si>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</si>
  <si>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</si>
  <si>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</si>
  <si>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</si>
  <si>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</si>
  <si>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</si>
  <si>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</si>
  <si>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</si>
  <si>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</si>
  <si>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</si>
  <si>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</si>
  <si>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</si>
  <si>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</si>
  <si>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</si>
  <si>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</si>
  <si>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</si>
  <si>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</si>
  <si>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</si>
  <si>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</si>
  <si>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</si>
  <si>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</si>
  <si>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</si>
  <si>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</si>
  <si>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</si>
  <si>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</si>
  <si>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</si>
  <si>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</si>
  <si>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</si>
  <si>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</si>
  <si>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</si>
  <si>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</si>
  <si>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</si>
  <si>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</si>
  <si>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</si>
  <si>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</si>
  <si>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</si>
  <si>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</si>
  <si>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</si>
  <si>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</si>
  <si>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</si>
  <si>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</si>
  <si>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</si>
  <si>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</si>
  <si>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</si>
  <si>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</si>
  <si>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</si>
  <si>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</si>
  <si>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</si>
  <si>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</si>
  <si>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</si>
  <si>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</si>
  <si>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</si>
  <si>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</si>
  <si>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</si>
  <si>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</si>
  <si>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</si>
  <si>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</si>
  <si>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</si>
  <si>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</si>
  <si>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</si>
  <si>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</si>
  <si>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</si>
  <si>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</si>
  <si>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</si>
  <si>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</si>
  <si>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</si>
  <si>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</si>
  <si>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</si>
  <si>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</si>
  <si>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</si>
  <si>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</si>
  <si>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</si>
  <si>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</si>
  <si>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</si>
  <si>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</si>
  <si>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</si>
  <si>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</si>
  <si>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</si>
  <si>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</si>
  <si>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</si>
  <si>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</si>
  <si>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</si>
  <si>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</si>
  <si>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</si>
  <si>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</si>
  <si>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</si>
  <si>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</si>
  <si>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</si>
  <si>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</si>
  <si>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</si>
  <si>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</si>
  <si>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</si>
  <si>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</si>
  <si>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</si>
  <si>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</si>
  <si>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</si>
  <si>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</si>
  <si>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</si>
  <si>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</si>
  <si>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</si>
  <si>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</si>
  <si>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</si>
  <si>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</si>
  <si>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</si>
  <si>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</si>
  <si>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</si>
  <si>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</si>
  <si>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</si>
  <si>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</si>
  <si>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</si>
  <si>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</si>
  <si>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</si>
  <si>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</si>
  <si>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</si>
  <si>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</si>
  <si>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</si>
  <si>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</si>
  <si>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</si>
  <si>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</si>
  <si>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</si>
  <si>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</si>
  <si>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</si>
  <si>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</si>
  <si>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</si>
  <si>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</si>
  <si>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</si>
  <si>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</si>
  <si>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</si>
  <si>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</si>
  <si>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</si>
  <si>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</si>
  <si>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</si>
  <si>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</si>
  <si>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</si>
  <si>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</si>
  <si>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</si>
  <si>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</si>
  <si>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</si>
  <si>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</si>
  <si>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</si>
  <si>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</si>
  <si>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</si>
  <si>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</si>
  <si>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</si>
  <si>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</si>
  <si>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</si>
  <si>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</si>
  <si>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</si>
  <si>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</si>
  <si>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</si>
  <si>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</si>
  <si>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</si>
  <si>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</si>
  <si>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</si>
  <si>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</si>
  <si>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</si>
  <si>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</si>
  <si>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</si>
  <si>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</si>
  <si>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</si>
  <si>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</si>
  <si>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</si>
  <si>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</si>
  <si>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</si>
  <si>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</si>
  <si>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</si>
  <si>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</si>
  <si>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</si>
  <si>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</si>
  <si>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</si>
  <si>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</si>
  <si>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</si>
  <si>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</si>
  <si>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</si>
  <si>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</si>
  <si>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</si>
  <si>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</si>
  <si>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</si>
  <si>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</si>
  <si>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</si>
  <si>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</si>
  <si>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</si>
  <si>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</si>
  <si>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</si>
  <si>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</si>
  <si>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</si>
  <si>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</si>
  <si>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</si>
  <si>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</si>
  <si>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</si>
  <si>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</si>
  <si>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</si>
  <si>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</si>
  <si>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</si>
  <si>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</si>
  <si>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</si>
  <si>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</si>
  <si>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</si>
  <si>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</si>
  <si>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</si>
  <si>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</si>
  <si>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</si>
  <si>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</si>
  <si>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</si>
  <si>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</si>
  <si>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</si>
  <si>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</si>
  <si>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</si>
  <si>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</si>
  <si>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</si>
  <si>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</si>
  <si>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</si>
  <si>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</si>
  <si>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</si>
  <si>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</si>
  <si>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</si>
  <si>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</si>
  <si>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</si>
  <si>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</si>
  <si>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</si>
  <si>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</si>
  <si>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</si>
  <si>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</si>
  <si>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</si>
  <si>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</si>
  <si>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</si>
  <si>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</si>
  <si>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</si>
  <si>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</si>
  <si>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</si>
  <si>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</si>
  <si>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</si>
  <si>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</si>
  <si>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</si>
  <si>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</si>
  <si>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</si>
  <si>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</si>
  <si>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</si>
  <si>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</si>
  <si>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</si>
  <si>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</si>
  <si>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</si>
  <si>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</si>
  <si>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</si>
  <si>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</si>
  <si>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</si>
  <si>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</si>
  <si>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</si>
  <si>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</si>
  <si>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</si>
  <si>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</si>
  <si>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</si>
  <si>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</si>
  <si>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</si>
  <si>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</si>
  <si>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</si>
  <si>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</si>
  <si>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</si>
  <si>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</si>
  <si>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</si>
  <si>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</si>
  <si>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</si>
  <si>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</si>
  <si>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</si>
  <si>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</si>
  <si>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</si>
  <si>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</si>
  <si>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</si>
  <si>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</si>
  <si>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</si>
  <si>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</si>
  <si>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</si>
  <si>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</si>
  <si>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</si>
  <si>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</si>
  <si>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</si>
  <si>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</si>
  <si>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</si>
  <si>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</si>
  <si>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</si>
  <si>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</si>
  <si>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</si>
  <si>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</si>
  <si>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</si>
  <si>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</si>
  <si>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</si>
  <si>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</si>
  <si>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</si>
  <si>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</si>
  <si>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</si>
  <si>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</si>
  <si>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</si>
  <si>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</si>
  <si>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</si>
  <si>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</si>
  <si>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</si>
  <si>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</si>
  <si>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</si>
  <si>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</si>
  <si>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</si>
  <si>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</si>
  <si>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</si>
  <si>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</si>
  <si>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</si>
  <si>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</si>
  <si>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</si>
  <si>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</si>
  <si>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</si>
  <si>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</si>
  <si>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</si>
  <si>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</si>
  <si>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</si>
  <si>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</si>
  <si>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</si>
  <si>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</si>
  <si>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</si>
  <si>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</si>
  <si>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</si>
  <si>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</si>
  <si>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</si>
  <si>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</si>
  <si>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</si>
  <si>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</si>
  <si>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23064</t>
  </si>
  <si>
    <t>PEPINGEN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</si>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</sst>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23064</v>
      </c>
      <c r="B6" s="397"/>
      <c r="C6" s="398"/>
    </row>
    <row r="7" spans="1:7" s="395" customFormat="1" ht="15.75" customHeight="1">
      <c r="A7" s="399" t="str">
        <f>txtMunicipality</f>
        <v>PEPINGEN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1571</v>
      </c>
      <c r="C9" s="338">
        <v>1755</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2617</v>
      </c>
    </row>
    <row r="15" spans="1:6">
      <c r="A15" s="1260" t="s">
        <v>184</v>
      </c>
      <c r="B15" s="335">
        <v>17</v>
      </c>
    </row>
    <row r="16" spans="1:6">
      <c r="A16" s="1260" t="s">
        <v>6</v>
      </c>
      <c r="B16" s="335">
        <v>577</v>
      </c>
    </row>
    <row r="17" spans="1:6">
      <c r="A17" s="1260" t="s">
        <v>7</v>
      </c>
      <c r="B17" s="335">
        <v>882</v>
      </c>
    </row>
    <row r="18" spans="1:6">
      <c r="A18" s="1260" t="s">
        <v>8</v>
      </c>
      <c r="B18" s="335">
        <v>1029</v>
      </c>
    </row>
    <row r="19" spans="1:6">
      <c r="A19" s="1260" t="s">
        <v>9</v>
      </c>
      <c r="B19" s="335">
        <v>837</v>
      </c>
    </row>
    <row r="20" spans="1:6">
      <c r="A20" s="1260" t="s">
        <v>10</v>
      </c>
      <c r="B20" s="335">
        <v>849</v>
      </c>
    </row>
    <row r="21" spans="1:6">
      <c r="A21" s="1260" t="s">
        <v>11</v>
      </c>
      <c r="B21" s="335">
        <v>1475</v>
      </c>
    </row>
    <row r="22" spans="1:6">
      <c r="A22" s="1260" t="s">
        <v>12</v>
      </c>
      <c r="B22" s="335">
        <v>7228</v>
      </c>
    </row>
    <row r="23" spans="1:6">
      <c r="A23" s="1260" t="s">
        <v>13</v>
      </c>
      <c r="B23" s="335">
        <v>45</v>
      </c>
    </row>
    <row r="24" spans="1:6">
      <c r="A24" s="1260" t="s">
        <v>14</v>
      </c>
      <c r="B24" s="335">
        <v>4</v>
      </c>
    </row>
    <row r="25" spans="1:6">
      <c r="A25" s="1260" t="s">
        <v>15</v>
      </c>
      <c r="B25" s="335">
        <v>454</v>
      </c>
    </row>
    <row r="26" spans="1:6">
      <c r="A26" s="1260" t="s">
        <v>16</v>
      </c>
      <c r="B26" s="335">
        <v>328</v>
      </c>
    </row>
    <row r="27" spans="1:6">
      <c r="A27" s="1260" t="s">
        <v>17</v>
      </c>
      <c r="B27" s="335">
        <v>0</v>
      </c>
    </row>
    <row r="28" spans="1:6" s="341" customFormat="1">
      <c r="A28" s="1261" t="s">
        <v>18</v>
      </c>
      <c r="B28" s="1261">
        <v>120</v>
      </c>
    </row>
    <row r="29" spans="1:6">
      <c r="A29" s="1261" t="s">
        <v>910</v>
      </c>
      <c r="B29" s="1261">
        <v>47</v>
      </c>
      <c r="C29" s="341"/>
      <c r="D29" s="341"/>
      <c r="E29" s="341"/>
      <c r="F29" s="341"/>
    </row>
    <row r="30" spans="1:6">
      <c r="A30" s="1256" t="s">
        <v>911</v>
      </c>
      <c r="B30" s="1256">
        <v>2</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143</v>
      </c>
      <c r="D39" s="335">
        <v>2410707</v>
      </c>
      <c r="E39" s="335">
        <v>1525</v>
      </c>
      <c r="F39" s="335">
        <v>8149697.8359456416</v>
      </c>
    </row>
    <row r="40" spans="1:6">
      <c r="A40" s="1260" t="s">
        <v>30</v>
      </c>
      <c r="B40" s="1260" t="s">
        <v>29</v>
      </c>
      <c r="C40" s="335">
        <v>0</v>
      </c>
      <c r="D40" s="335">
        <v>0</v>
      </c>
      <c r="E40" s="335">
        <v>0</v>
      </c>
      <c r="F40" s="335">
        <v>0</v>
      </c>
    </row>
    <row r="41" spans="1:6">
      <c r="A41" s="1260" t="s">
        <v>32</v>
      </c>
      <c r="B41" s="1260" t="s">
        <v>33</v>
      </c>
      <c r="C41" s="335">
        <v>0</v>
      </c>
      <c r="D41" s="335">
        <v>0</v>
      </c>
      <c r="E41" s="335">
        <v>32</v>
      </c>
      <c r="F41" s="335">
        <v>419265</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v>
      </c>
      <c r="D48" s="335">
        <v>13720</v>
      </c>
      <c r="E48" s="335">
        <v>6</v>
      </c>
      <c r="F48" s="335">
        <v>138432</v>
      </c>
    </row>
    <row r="49" spans="1:6">
      <c r="A49" s="1260" t="s">
        <v>32</v>
      </c>
      <c r="B49" s="1260" t="s">
        <v>40</v>
      </c>
      <c r="C49" s="335">
        <v>0</v>
      </c>
      <c r="D49" s="335">
        <v>0</v>
      </c>
      <c r="E49" s="335">
        <v>0</v>
      </c>
      <c r="F49" s="335">
        <v>0</v>
      </c>
    </row>
    <row r="50" spans="1:6">
      <c r="A50" s="1260" t="s">
        <v>32</v>
      </c>
      <c r="B50" s="1260" t="s">
        <v>41</v>
      </c>
      <c r="C50" s="335">
        <v>0</v>
      </c>
      <c r="D50" s="335">
        <v>0</v>
      </c>
      <c r="E50" s="335">
        <v>0</v>
      </c>
      <c r="F50" s="335">
        <v>0</v>
      </c>
    </row>
    <row r="51" spans="1:6">
      <c r="A51" s="1260" t="s">
        <v>42</v>
      </c>
      <c r="B51" s="1260" t="s">
        <v>43</v>
      </c>
      <c r="C51" s="335">
        <v>0</v>
      </c>
      <c r="D51" s="335">
        <v>0</v>
      </c>
      <c r="E51" s="335">
        <v>64</v>
      </c>
      <c r="F51" s="335">
        <v>1240378</v>
      </c>
    </row>
    <row r="52" spans="1:6">
      <c r="A52" s="1260" t="s">
        <v>42</v>
      </c>
      <c r="B52" s="1260" t="s">
        <v>29</v>
      </c>
      <c r="C52" s="335">
        <v>1</v>
      </c>
      <c r="D52" s="335">
        <v>31144</v>
      </c>
      <c r="E52" s="335">
        <v>0</v>
      </c>
      <c r="F52" s="335">
        <v>0</v>
      </c>
    </row>
    <row r="53" spans="1:6">
      <c r="A53" s="1260" t="s">
        <v>44</v>
      </c>
      <c r="B53" s="1260" t="s">
        <v>45</v>
      </c>
      <c r="C53" s="335">
        <v>0</v>
      </c>
      <c r="D53" s="335">
        <v>0</v>
      </c>
      <c r="E53" s="335">
        <v>0</v>
      </c>
      <c r="F53" s="335">
        <v>0</v>
      </c>
    </row>
    <row r="54" spans="1:6">
      <c r="A54" s="1260" t="s">
        <v>46</v>
      </c>
      <c r="B54" s="1260" t="s">
        <v>47</v>
      </c>
      <c r="C54" s="335">
        <v>0</v>
      </c>
      <c r="D54" s="335">
        <v>0</v>
      </c>
      <c r="E54" s="335">
        <v>2</v>
      </c>
      <c r="F54" s="335">
        <v>399505</v>
      </c>
    </row>
    <row r="55" spans="1:6">
      <c r="A55" s="1260" t="s">
        <v>46</v>
      </c>
      <c r="B55" s="1260" t="s">
        <v>29</v>
      </c>
      <c r="C55" s="335">
        <v>0</v>
      </c>
      <c r="D55" s="335">
        <v>0</v>
      </c>
      <c r="E55" s="335">
        <v>0</v>
      </c>
      <c r="F55" s="335">
        <v>0</v>
      </c>
    </row>
    <row r="56" spans="1:6">
      <c r="A56" s="1260" t="s">
        <v>48</v>
      </c>
      <c r="B56" s="1260" t="s">
        <v>29</v>
      </c>
      <c r="C56" s="335">
        <v>0</v>
      </c>
      <c r="D56" s="335">
        <v>0</v>
      </c>
      <c r="E56" s="335">
        <v>28</v>
      </c>
      <c r="F56" s="335">
        <v>214349</v>
      </c>
    </row>
    <row r="57" spans="1:6">
      <c r="A57" s="1260" t="s">
        <v>49</v>
      </c>
      <c r="B57" s="1260" t="s">
        <v>50</v>
      </c>
      <c r="C57" s="335">
        <v>0</v>
      </c>
      <c r="D57" s="335">
        <v>0</v>
      </c>
      <c r="E57" s="335">
        <v>18</v>
      </c>
      <c r="F57" s="335">
        <v>190022</v>
      </c>
    </row>
    <row r="58" spans="1:6">
      <c r="A58" s="1260" t="s">
        <v>49</v>
      </c>
      <c r="B58" s="1260" t="s">
        <v>51</v>
      </c>
      <c r="C58" s="335">
        <v>0</v>
      </c>
      <c r="D58" s="335">
        <v>0</v>
      </c>
      <c r="E58" s="335">
        <v>8</v>
      </c>
      <c r="F58" s="335">
        <v>839775</v>
      </c>
    </row>
    <row r="59" spans="1:6">
      <c r="A59" s="1260" t="s">
        <v>49</v>
      </c>
      <c r="B59" s="1260" t="s">
        <v>52</v>
      </c>
      <c r="C59" s="335">
        <v>0</v>
      </c>
      <c r="D59" s="335">
        <v>0</v>
      </c>
      <c r="E59" s="335">
        <v>32</v>
      </c>
      <c r="F59" s="335">
        <v>547548</v>
      </c>
    </row>
    <row r="60" spans="1:6">
      <c r="A60" s="1260" t="s">
        <v>49</v>
      </c>
      <c r="B60" s="1260" t="s">
        <v>53</v>
      </c>
      <c r="C60" s="335">
        <v>0</v>
      </c>
      <c r="D60" s="335">
        <v>0</v>
      </c>
      <c r="E60" s="335">
        <v>13</v>
      </c>
      <c r="F60" s="335">
        <v>271871</v>
      </c>
    </row>
    <row r="61" spans="1:6">
      <c r="A61" s="1260" t="s">
        <v>49</v>
      </c>
      <c r="B61" s="1260" t="s">
        <v>54</v>
      </c>
      <c r="C61" s="335">
        <v>5</v>
      </c>
      <c r="D61" s="335">
        <v>103979</v>
      </c>
      <c r="E61" s="335">
        <v>96</v>
      </c>
      <c r="F61" s="335">
        <v>744612</v>
      </c>
    </row>
    <row r="62" spans="1:6">
      <c r="A62" s="1260" t="s">
        <v>49</v>
      </c>
      <c r="B62" s="1260" t="s">
        <v>55</v>
      </c>
      <c r="C62" s="335">
        <v>0</v>
      </c>
      <c r="D62" s="335">
        <v>0</v>
      </c>
      <c r="E62" s="335">
        <v>4</v>
      </c>
      <c r="F62" s="335">
        <v>27290</v>
      </c>
    </row>
    <row r="63" spans="1:6">
      <c r="A63" s="1260" t="s">
        <v>49</v>
      </c>
      <c r="B63" s="1260" t="s">
        <v>29</v>
      </c>
      <c r="C63" s="335">
        <v>3</v>
      </c>
      <c r="D63" s="335">
        <v>112498</v>
      </c>
      <c r="E63" s="335">
        <v>1</v>
      </c>
      <c r="F63" s="335">
        <v>12129.919840242401</v>
      </c>
    </row>
    <row r="64" spans="1:6">
      <c r="A64" s="1260" t="s">
        <v>56</v>
      </c>
      <c r="B64" s="1260" t="s">
        <v>57</v>
      </c>
      <c r="C64" s="335">
        <v>0</v>
      </c>
      <c r="D64" s="335">
        <v>0</v>
      </c>
      <c r="E64" s="335">
        <v>0</v>
      </c>
      <c r="F64" s="335">
        <v>0</v>
      </c>
    </row>
    <row r="65" spans="1:6">
      <c r="A65" s="1260" t="s">
        <v>56</v>
      </c>
      <c r="B65" s="1260" t="s">
        <v>29</v>
      </c>
      <c r="C65" s="335">
        <v>0</v>
      </c>
      <c r="D65" s="335">
        <v>0</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4</v>
      </c>
      <c r="F68" s="335">
        <v>27885</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33197938</v>
      </c>
      <c r="E73" s="335">
        <v>34597229.316078767</v>
      </c>
    </row>
    <row r="74" spans="1:6">
      <c r="A74" s="1260" t="s">
        <v>64</v>
      </c>
      <c r="B74" s="1260" t="s">
        <v>772</v>
      </c>
      <c r="C74" s="1271" t="s">
        <v>766</v>
      </c>
      <c r="D74" s="335">
        <v>1688151.6294747305</v>
      </c>
      <c r="E74" s="335">
        <v>1835938.3160234909</v>
      </c>
    </row>
    <row r="75" spans="1:6">
      <c r="A75" s="1260" t="s">
        <v>65</v>
      </c>
      <c r="B75" s="1260" t="s">
        <v>771</v>
      </c>
      <c r="C75" s="1271" t="s">
        <v>767</v>
      </c>
      <c r="D75" s="335">
        <v>23740109</v>
      </c>
      <c r="E75" s="335">
        <v>24648112.258368094</v>
      </c>
    </row>
    <row r="76" spans="1:6">
      <c r="A76" s="1260" t="s">
        <v>65</v>
      </c>
      <c r="B76" s="1260" t="s">
        <v>772</v>
      </c>
      <c r="C76" s="1271" t="s">
        <v>768</v>
      </c>
      <c r="D76" s="335">
        <v>775234.62947473046</v>
      </c>
      <c r="E76" s="335">
        <v>844889.72242065601</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326760.74105053919</v>
      </c>
      <c r="C83" s="335">
        <v>316708.32993814169</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1041.3725595694023</v>
      </c>
    </row>
    <row r="92" spans="1:6">
      <c r="A92" s="1256" t="s">
        <v>69</v>
      </c>
      <c r="B92" s="338">
        <v>98.363156802156297</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6</v>
      </c>
    </row>
    <row r="98" spans="1:6">
      <c r="A98" s="1260" t="s">
        <v>72</v>
      </c>
      <c r="B98" s="335">
        <v>0</v>
      </c>
    </row>
    <row r="99" spans="1:6">
      <c r="A99" s="1260" t="s">
        <v>73</v>
      </c>
      <c r="B99" s="335">
        <v>51</v>
      </c>
    </row>
    <row r="100" spans="1:6">
      <c r="A100" s="1260" t="s">
        <v>74</v>
      </c>
      <c r="B100" s="335">
        <v>148</v>
      </c>
    </row>
    <row r="101" spans="1:6">
      <c r="A101" s="1260" t="s">
        <v>75</v>
      </c>
      <c r="B101" s="335">
        <v>49</v>
      </c>
    </row>
    <row r="102" spans="1:6">
      <c r="A102" s="1260" t="s">
        <v>76</v>
      </c>
      <c r="B102" s="335">
        <v>22</v>
      </c>
    </row>
    <row r="103" spans="1:6">
      <c r="A103" s="1260" t="s">
        <v>77</v>
      </c>
      <c r="B103" s="335">
        <v>94</v>
      </c>
    </row>
    <row r="104" spans="1:6">
      <c r="A104" s="1260" t="s">
        <v>78</v>
      </c>
      <c r="B104" s="335">
        <v>1072</v>
      </c>
    </row>
    <row r="105" spans="1:6">
      <c r="A105" s="1256" t="s">
        <v>79</v>
      </c>
      <c r="B105" s="1256">
        <v>4</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3</v>
      </c>
      <c r="C123" s="335">
        <v>1</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10</v>
      </c>
    </row>
    <row r="130" spans="1:6">
      <c r="A130" s="1260" t="s">
        <v>295</v>
      </c>
      <c r="B130" s="335">
        <v>0</v>
      </c>
    </row>
    <row r="131" spans="1:6">
      <c r="A131" s="1260" t="s">
        <v>296</v>
      </c>
      <c r="B131" s="335">
        <v>0</v>
      </c>
    </row>
    <row r="132" spans="1:6">
      <c r="A132" s="1256" t="s">
        <v>297</v>
      </c>
      <c r="B132" s="338">
        <v>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14023.096293496479</v>
      </c>
      <c r="C3" s="44" t="s">
        <v>170</v>
      </c>
      <c r="D3" s="44"/>
      <c r="E3" s="157"/>
      <c r="F3" s="44"/>
      <c r="G3" s="44"/>
      <c r="H3" s="44"/>
      <c r="I3" s="44"/>
      <c r="J3" s="44"/>
      <c r="K3" s="97"/>
    </row>
    <row r="4" spans="1:11">
      <c r="A4" s="365" t="s">
        <v>171</v>
      </c>
      <c r="B4" s="50">
        <f>IF(ISERROR('SEAP template'!B69),0,'SEAP template'!B69)</f>
        <v>1139.7357163715585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0.20303809001618781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399.505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399.505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0.20303809001618781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81.11473215191711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8149.6978359456416</v>
      </c>
      <c r="C5" s="18">
        <f>IF(ISERROR('Eigen informatie GS &amp; warmtenet'!B57),0,'Eigen informatie GS &amp; warmtenet'!B57)</f>
        <v>0</v>
      </c>
      <c r="D5" s="31">
        <f>(SUM(HH_hh_gas_kWh,HH_rest_gas_kWh)/1000)*0.902</f>
        <v>2174.4577140000001</v>
      </c>
      <c r="E5" s="18">
        <f>B46*B57</f>
        <v>1785.4839699263405</v>
      </c>
      <c r="F5" s="18">
        <f>B51*B62</f>
        <v>18727.228225578699</v>
      </c>
      <c r="G5" s="19"/>
      <c r="H5" s="18"/>
      <c r="I5" s="18"/>
      <c r="J5" s="18">
        <f>B50*B61+C50*C61</f>
        <v>2534.0286113672601</v>
      </c>
      <c r="K5" s="18"/>
      <c r="L5" s="18"/>
      <c r="M5" s="18"/>
      <c r="N5" s="18">
        <f>B48*B59+C48*C59</f>
        <v>5571.0453515598874</v>
      </c>
      <c r="O5" s="18">
        <f>B69*B70*B71</f>
        <v>17.196666666666669</v>
      </c>
      <c r="P5" s="18">
        <f>B77*B78*B79/1000-B77*B78*B79/1000/B80</f>
        <v>95.333333333333343</v>
      </c>
    </row>
    <row r="6" spans="1:16">
      <c r="A6" s="17" t="s">
        <v>639</v>
      </c>
      <c r="B6" s="831">
        <f>kWh_PV_kleiner_dan_10kW</f>
        <v>1041.3725595694023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9191.0703955150439</v>
      </c>
      <c r="C8" s="22">
        <f>C5</f>
        <v>0</v>
      </c>
      <c r="D8" s="22">
        <f>D5</f>
        <v>2174.4577140000001</v>
      </c>
      <c r="E8" s="22">
        <f>E5</f>
        <v>1785.4839699263405</v>
      </c>
      <c r="F8" s="22">
        <f>F5</f>
        <v>18727.228225578699</v>
      </c>
      <c r="G8" s="22"/>
      <c r="H8" s="22"/>
      <c r="I8" s="22"/>
      <c r="J8" s="22">
        <f>J5</f>
        <v>2534.0286113672601</v>
      </c>
      <c r="K8" s="22"/>
      <c r="L8" s="22">
        <f>L5</f>
        <v>0</v>
      </c>
      <c r="M8" s="22">
        <f>M5</f>
        <v>0</v>
      </c>
      <c r="N8" s="22">
        <f>N5</f>
        <v>5571.0453515598874</v>
      </c>
      <c r="O8" s="22">
        <f>O5</f>
        <v>17.196666666666669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0.20303809001618781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1866.1373783097024</v>
      </c>
      <c r="C12" s="24">
        <f ca="1">C10*C8</f>
        <v>0</v>
      </c>
      <c r="D12" s="24">
        <f>D8*D10</f>
        <v>439.24045822800008</v>
      </c>
      <c r="E12" s="24">
        <f>E10*E8</f>
        <v>405.30486117327928</v>
      </c>
      <c r="F12" s="24">
        <f>F10*F8</f>
        <v>5000.169936229513</v>
      </c>
      <c r="G12" s="24"/>
      <c r="H12" s="24"/>
      <c r="I12" s="24"/>
      <c r="J12" s="24">
        <f>J10*J8</f>
        <v>897.04612842401002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v>
      </c>
      <c r="C18" s="169" t="s">
        <v>111</v>
      </c>
      <c r="D18" s="231"/>
      <c r="E18" s="16"/>
    </row>
    <row r="19" spans="1:7">
      <c r="A19" s="174" t="s">
        <v>72</v>
      </c>
      <c r="B19" s="38">
        <f>aantalw2001_ander</f>
        <v>0</v>
      </c>
      <c r="C19" s="169" t="s">
        <v>111</v>
      </c>
      <c r="D19" s="232"/>
      <c r="E19" s="16"/>
    </row>
    <row r="20" spans="1:7">
      <c r="A20" s="174" t="s">
        <v>73</v>
      </c>
      <c r="B20" s="38">
        <f>aantalw2001_propaan</f>
        <v>51</v>
      </c>
      <c r="C20" s="170">
        <f>IF(ISERROR(B20/SUM($B$20,$B$21,$B$22)*100),0,B20/SUM($B$20,$B$21,$B$22)*100)</f>
        <v>20.56451612903226</v>
      </c>
      <c r="D20" s="232"/>
      <c r="E20" s="16"/>
    </row>
    <row r="21" spans="1:7">
      <c r="A21" s="174" t="s">
        <v>74</v>
      </c>
      <c r="B21" s="38">
        <f>aantalw2001_elektriciteit</f>
        <v>148</v>
      </c>
      <c r="C21" s="170">
        <f>IF(ISERROR(B21/SUM($B$20,$B$21,$B$22)*100),0,B21/SUM($B$20,$B$21,$B$22)*100)</f>
        <v>59.677419354838712</v>
      </c>
      <c r="D21" s="232"/>
      <c r="E21" s="16"/>
    </row>
    <row r="22" spans="1:7">
      <c r="A22" s="174" t="s">
        <v>75</v>
      </c>
      <c r="B22" s="38">
        <f>aantalw2001_hout</f>
        <v>49</v>
      </c>
      <c r="C22" s="170">
        <f>IF(ISERROR(B22/SUM($B$20,$B$21,$B$22)*100),0,B22/SUM($B$20,$B$21,$B$22)*100)</f>
        <v>19.758064516129032</v>
      </c>
      <c r="D22" s="232"/>
      <c r="E22" s="16"/>
    </row>
    <row r="23" spans="1:7">
      <c r="A23" s="174" t="s">
        <v>76</v>
      </c>
      <c r="B23" s="38">
        <f>aantalw2001_niet_gespec</f>
        <v>22</v>
      </c>
      <c r="C23" s="169" t="s">
        <v>111</v>
      </c>
      <c r="D23" s="231"/>
      <c r="E23" s="16"/>
    </row>
    <row r="24" spans="1:7">
      <c r="A24" s="174" t="s">
        <v>77</v>
      </c>
      <c r="B24" s="38">
        <f>aantalw2001_steenkool</f>
        <v>94</v>
      </c>
      <c r="C24" s="169" t="s">
        <v>111</v>
      </c>
      <c r="D24" s="232"/>
      <c r="E24" s="16"/>
    </row>
    <row r="25" spans="1:7">
      <c r="A25" s="174" t="s">
        <v>78</v>
      </c>
      <c r="B25" s="38">
        <f>aantalw2001_stookolie</f>
        <v>1072</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1571</v>
      </c>
      <c r="C28" s="37"/>
      <c r="D28" s="231"/>
    </row>
    <row r="29" spans="1:7" s="16" customFormat="1">
      <c r="A29" s="233" t="s">
        <v>666</v>
      </c>
      <c r="B29" s="38">
        <f>SUM(HH_hh_gas_aantal,HH_rest_gas_aantal)</f>
        <v>143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143</v>
      </c>
      <c r="C32" s="170">
        <f>IF(ISERROR(B32/SUM($B$32,$B$34,$B$35,$B$36,$B$38,$B$39)*100),0,B32/SUM($B$32,$B$34,$B$35,$B$36,$B$38,$B$39)*100)</f>
        <v>9.1315453384418905</v>
      </c>
      <c r="D32" s="236"/>
      <c r="G32" s="16"/>
    </row>
    <row r="33" spans="1:7">
      <c r="A33" s="174" t="s">
        <v>72</v>
      </c>
      <c r="B33" s="35" t="s">
        <v>111</v>
      </c>
      <c r="C33" s="170"/>
      <c r="D33" s="236"/>
      <c r="G33" s="16"/>
    </row>
    <row r="34" spans="1:7">
      <c r="A34" s="174" t="s">
        <v>73</v>
      </c>
      <c r="B34" s="34">
        <f>IF((($B$28-$B$32-$B$39-$B$77-$B$38)*C20/100)&lt;0,0,($B$28-$B$32-$B$39-$B$77-$B$38)*C20/100)</f>
        <v>81.024193548387089</v>
      </c>
      <c r="C34" s="170">
        <f>IF(ISERROR(B34/SUM($B$32,$B$34,$B$35,$B$36,$B$38,$B$39)*100),0,B34/SUM($B$32,$B$34,$B$35,$B$36,$B$38,$B$39)*100)</f>
        <v>5.1739587195649479</v>
      </c>
      <c r="D34" s="236"/>
      <c r="G34" s="16"/>
    </row>
    <row r="35" spans="1:7">
      <c r="A35" s="174" t="s">
        <v>74</v>
      </c>
      <c r="B35" s="34">
        <f>IF((($B$28-$B$32-$B$39-$B$77-$B$38)*C21/100)&lt;0,0,($B$28-$B$32-$B$39-$B$77-$B$38)*C21/100)</f>
        <v>235.12903225806451</v>
      </c>
      <c r="C35" s="170">
        <f>IF(ISERROR(B35/SUM($B$32,$B$34,$B$35,$B$36,$B$38,$B$39)*100),0,B35/SUM($B$32,$B$34,$B$35,$B$36,$B$38,$B$39)*100)</f>
        <v>15.014625303835539</v>
      </c>
      <c r="D35" s="236"/>
      <c r="G35" s="16"/>
    </row>
    <row r="36" spans="1:7">
      <c r="A36" s="174" t="s">
        <v>75</v>
      </c>
      <c r="B36" s="34">
        <f>IF((($B$28-$B$32-$B$39-$B$77-$B$38)*C22/100)&lt;0,0,($B$28-$B$32-$B$39-$B$77-$B$38)*C22/100)</f>
        <v>77.84677419354837</v>
      </c>
      <c r="C36" s="170">
        <f>IF(ISERROR(B36/SUM($B$32,$B$34,$B$35,$B$36,$B$38,$B$39)*100),0,B36/SUM($B$32,$B$34,$B$35,$B$36,$B$38,$B$39)*100)</f>
        <v>4.9710583776212243</v>
      </c>
      <c r="D36" s="236"/>
      <c r="G36" s="16"/>
    </row>
    <row r="37" spans="1:7">
      <c r="A37" s="174" t="s">
        <v>76</v>
      </c>
      <c r="B37" s="35" t="s">
        <v>111</v>
      </c>
      <c r="C37" s="170"/>
      <c r="D37" s="176"/>
      <c r="G37" s="16"/>
    </row>
    <row r="38" spans="1:7">
      <c r="A38" s="174" t="s">
        <v>77</v>
      </c>
      <c r="B38" s="34">
        <f>IF((B24-(B29-B18)*0.1)&lt;0,0,B24-(B29-B18)*0.1)</f>
        <v>80.3</v>
      </c>
      <c r="C38" s="170">
        <f>IF(ISERROR(B38/SUM($B$32,$B$34,$B$35,$B$36,$B$38,$B$39)*100),0,B38/SUM($B$32,$B$34,$B$35,$B$36,$B$38,$B$39)*100)</f>
        <v>5.127713920817369</v>
      </c>
      <c r="D38" s="237"/>
      <c r="G38" s="16"/>
    </row>
    <row r="39" spans="1:7">
      <c r="A39" s="174" t="s">
        <v>78</v>
      </c>
      <c r="B39" s="34">
        <f>IF((B25-(B29-B18))&lt;0,0,B25-(B29-B18)*0.9)</f>
        <v>948.7</v>
      </c>
      <c r="C39" s="170">
        <f>IF(ISERROR(B39/SUM($B$32,$B$34,$B$35,$B$36,$B$38,$B$39)*100),0,B39/SUM($B$32,$B$34,$B$35,$B$36,$B$38,$B$39)*100)</f>
        <v>60.581098339719034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143</v>
      </c>
      <c r="C44" s="35" t="s">
        <v>111</v>
      </c>
      <c r="D44" s="177"/>
    </row>
    <row r="45" spans="1:7">
      <c r="A45" s="174" t="s">
        <v>72</v>
      </c>
      <c r="B45" s="34" t="str">
        <f t="shared" si="0"/>
        <v>-</v>
      </c>
      <c r="C45" s="35" t="s">
        <v>111</v>
      </c>
      <c r="D45" s="177"/>
    </row>
    <row r="46" spans="1:7">
      <c r="A46" s="174" t="s">
        <v>73</v>
      </c>
      <c r="B46" s="34">
        <f t="shared" si="0"/>
        <v>81.024193548387089</v>
      </c>
      <c r="C46" s="35" t="s">
        <v>111</v>
      </c>
      <c r="D46" s="177"/>
    </row>
    <row r="47" spans="1:7">
      <c r="A47" s="174" t="s">
        <v>74</v>
      </c>
      <c r="B47" s="34">
        <f t="shared" si="0"/>
        <v>235.12903225806451</v>
      </c>
      <c r="C47" s="35" t="s">
        <v>111</v>
      </c>
      <c r="D47" s="177"/>
    </row>
    <row r="48" spans="1:7">
      <c r="A48" s="174" t="s">
        <v>75</v>
      </c>
      <c r="B48" s="34">
        <f t="shared" si="0"/>
        <v>77.84677419354837</v>
      </c>
      <c r="C48" s="34">
        <f>B48*10</f>
        <v>778.46774193548367</v>
      </c>
      <c r="D48" s="237"/>
    </row>
    <row r="49" spans="1:6">
      <c r="A49" s="174" t="s">
        <v>76</v>
      </c>
      <c r="B49" s="34" t="str">
        <f t="shared" si="0"/>
        <v>-</v>
      </c>
      <c r="C49" s="35" t="s">
        <v>111</v>
      </c>
      <c r="D49" s="237"/>
    </row>
    <row r="50" spans="1:6">
      <c r="A50" s="174" t="s">
        <v>77</v>
      </c>
      <c r="B50" s="34">
        <f t="shared" si="0"/>
        <v>80.3</v>
      </c>
      <c r="C50" s="34">
        <f>B50*2</f>
        <v>160.6</v>
      </c>
      <c r="D50" s="237"/>
    </row>
    <row r="51" spans="1:6">
      <c r="A51" s="174" t="s">
        <v>78</v>
      </c>
      <c r="B51" s="34">
        <f t="shared" si="0"/>
        <v>948.7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2633.2479198402425</v>
      </c>
      <c r="C5" s="18">
        <f>IF(ISERROR('Eigen informatie GS &amp; warmtenet'!B58),0,'Eigen informatie GS &amp; warmtenet'!B58)</f>
        <v>0</v>
      </c>
      <c r="D5" s="31">
        <f>SUM(D6:D12)</f>
        <v>195.26225399999998</v>
      </c>
      <c r="E5" s="18">
        <f>SUM(E6:E12)</f>
        <v>20.787233563769536</v>
      </c>
      <c r="F5" s="18">
        <f>SUM(F6:F12)</f>
        <v>621.37400219108633</v>
      </c>
      <c r="G5" s="19"/>
      <c r="H5" s="18"/>
      <c r="I5" s="18"/>
      <c r="J5" s="18">
        <f>SUM(J6:J12)</f>
        <v>0</v>
      </c>
      <c r="K5" s="18"/>
      <c r="L5" s="18"/>
      <c r="M5" s="18"/>
      <c r="N5" s="18">
        <f>SUM(N6:N12)</f>
        <v>120.64243974275327</v>
      </c>
      <c r="O5" s="18">
        <f>B38*B39*B40</f>
        <v>0</v>
      </c>
      <c r="P5" s="18">
        <f>B46*B47*B48/1000-B46*B47*B48/1000/B49</f>
        <v>0</v>
      </c>
      <c r="R5" s="33"/>
    </row>
    <row r="6" spans="1:18">
      <c r="A6" s="33" t="s">
        <v>54</v>
      </c>
      <c r="B6" s="38">
        <f>B26</f>
        <v>744.61199999999997</v>
      </c>
      <c r="C6" s="34"/>
      <c r="D6" s="38">
        <f>IF(ISERROR(TER_kantoor_gas_kWh/1000),0,TER_kantoor_gas_kWh/1000)*0.902</f>
        <v>93.789057999999997</v>
      </c>
      <c r="E6" s="34">
        <f>$C$26*'E Balans VL '!I12/100/3.6*1000000</f>
        <v>1.2220592068692606</v>
      </c>
      <c r="F6" s="34">
        <f>$C$26*('E Balans VL '!L12+'E Balans VL '!N12)/100/3.6*1000000</f>
        <v>87.772235031043095</v>
      </c>
      <c r="G6" s="35"/>
      <c r="H6" s="34"/>
      <c r="I6" s="34"/>
      <c r="J6" s="34">
        <f>$C$26*('E Balans VL '!D12+'E Balans VL '!E12)/100/3.6*1000000</f>
        <v>0</v>
      </c>
      <c r="K6" s="34"/>
      <c r="L6" s="34"/>
      <c r="M6" s="34"/>
      <c r="N6" s="34">
        <f>$C$26*'E Balans VL '!Y12/100/3.6*1000000</f>
        <v>0.15044532857351339</v>
      </c>
      <c r="O6" s="34"/>
      <c r="P6" s="34"/>
      <c r="R6" s="33"/>
    </row>
    <row r="7" spans="1:18">
      <c r="A7" s="33" t="s">
        <v>53</v>
      </c>
      <c r="B7" s="38">
        <f t="shared" ref="B7:B12" si="0">B27</f>
        <v>271.87099999999998</v>
      </c>
      <c r="C7" s="34"/>
      <c r="D7" s="38">
        <f>IF(ISERROR(TER_horeca_gas_kWh/1000),0,TER_horeca_gas_kWh/1000)*0.902</f>
        <v>0</v>
      </c>
      <c r="E7" s="34">
        <f>$C$27*'E Balans VL '!I9/100/3.6*1000000</f>
        <v>14.108137599345334</v>
      </c>
      <c r="F7" s="34">
        <f>$C$27*('E Balans VL '!L9+'E Balans VL '!N9)/100/3.6*1000000</f>
        <v>62.041159470575309</v>
      </c>
      <c r="G7" s="35"/>
      <c r="H7" s="34"/>
      <c r="I7" s="34"/>
      <c r="J7" s="34">
        <f>$C$27*('E Balans VL '!D9+'E Balans VL '!E9)/100/3.6*1000000</f>
        <v>0</v>
      </c>
      <c r="K7" s="34"/>
      <c r="L7" s="34"/>
      <c r="M7" s="34"/>
      <c r="N7" s="34">
        <f>$C$27*'E Balans VL '!Y9/100/3.6*1000000</f>
        <v>2.8709453009678698E-2</v>
      </c>
      <c r="O7" s="34"/>
      <c r="P7" s="34"/>
      <c r="R7" s="33"/>
    </row>
    <row r="8" spans="1:18">
      <c r="A8" s="6" t="s">
        <v>52</v>
      </c>
      <c r="B8" s="38">
        <f t="shared" si="0"/>
        <v>547.548</v>
      </c>
      <c r="C8" s="34"/>
      <c r="D8" s="38">
        <f>IF(ISERROR(TER_handel_gas_kWh/1000),0,TER_handel_gas_kWh/1000)*0.902</f>
        <v>0</v>
      </c>
      <c r="E8" s="34">
        <f>$C$28*'E Balans VL '!I13/100/3.6*1000000</f>
        <v>2.9486132647063399</v>
      </c>
      <c r="F8" s="34">
        <f>$C$28*('E Balans VL '!L13+'E Balans VL '!N13)/100/3.6*1000000</f>
        <v>111.66130886102417</v>
      </c>
      <c r="G8" s="35"/>
      <c r="H8" s="34"/>
      <c r="I8" s="34"/>
      <c r="J8" s="34">
        <f>$C$28*('E Balans VL '!D13+'E Balans VL '!E13)/100/3.6*1000000</f>
        <v>0</v>
      </c>
      <c r="K8" s="34"/>
      <c r="L8" s="34"/>
      <c r="M8" s="34"/>
      <c r="N8" s="34">
        <f>$C$28*'E Balans VL '!Y13/100/3.6*1000000</f>
        <v>2.7226670521855678</v>
      </c>
      <c r="O8" s="34"/>
      <c r="P8" s="34"/>
      <c r="R8" s="33"/>
    </row>
    <row r="9" spans="1:18">
      <c r="A9" s="33" t="s">
        <v>51</v>
      </c>
      <c r="B9" s="38">
        <f t="shared" si="0"/>
        <v>839.77499999999998</v>
      </c>
      <c r="C9" s="34"/>
      <c r="D9" s="38">
        <f>IF(ISERROR(TER_gezond_gas_kWh/1000),0,TER_gezond_gas_kWh/1000)*0.902</f>
        <v>0</v>
      </c>
      <c r="E9" s="34">
        <f>$C$29*'E Balans VL '!I10/100/3.6*1000000</f>
        <v>0.83222657488177676</v>
      </c>
      <c r="F9" s="34">
        <f>$C$29*('E Balans VL '!L10+'E Balans VL '!N10)/100/3.6*1000000</f>
        <v>291.37771941425666</v>
      </c>
      <c r="G9" s="35"/>
      <c r="H9" s="34"/>
      <c r="I9" s="34"/>
      <c r="J9" s="34">
        <f>$C$29*('E Balans VL '!D10+'E Balans VL '!E10)/100/3.6*1000000</f>
        <v>0</v>
      </c>
      <c r="K9" s="34"/>
      <c r="L9" s="34"/>
      <c r="M9" s="34"/>
      <c r="N9" s="34">
        <f>$C$29*'E Balans VL '!Y10/100/3.6*1000000</f>
        <v>7.2362684256405316</v>
      </c>
      <c r="O9" s="34"/>
      <c r="P9" s="34"/>
      <c r="R9" s="33"/>
    </row>
    <row r="10" spans="1:18">
      <c r="A10" s="33" t="s">
        <v>50</v>
      </c>
      <c r="B10" s="38">
        <f t="shared" si="0"/>
        <v>190.02199999999999</v>
      </c>
      <c r="C10" s="34"/>
      <c r="D10" s="38">
        <f>IF(ISERROR(TER_ander_gas_kWh/1000),0,TER_ander_gas_kWh/1000)*0.902</f>
        <v>0</v>
      </c>
      <c r="E10" s="34">
        <f>$C$30*'E Balans VL '!I14/100/3.6*1000000</f>
        <v>1.5545698734637738</v>
      </c>
      <c r="F10" s="34">
        <f>$C$30*('E Balans VL '!L14+'E Balans VL '!N14)/100/3.6*1000000</f>
        <v>55.554696683977156</v>
      </c>
      <c r="G10" s="35"/>
      <c r="H10" s="34"/>
      <c r="I10" s="34"/>
      <c r="J10" s="34">
        <f>$C$30*('E Balans VL '!D14+'E Balans VL '!E14)/100/3.6*1000000</f>
        <v>0</v>
      </c>
      <c r="K10" s="34"/>
      <c r="L10" s="34"/>
      <c r="M10" s="34"/>
      <c r="N10" s="34">
        <f>$C$30*'E Balans VL '!Y14/100/3.6*1000000</f>
        <v>109.61776100690099</v>
      </c>
      <c r="O10" s="34"/>
      <c r="P10" s="34"/>
      <c r="R10" s="33"/>
    </row>
    <row r="11" spans="1:18">
      <c r="A11" s="33" t="s">
        <v>55</v>
      </c>
      <c r="B11" s="38">
        <f t="shared" si="0"/>
        <v>27.29</v>
      </c>
      <c r="C11" s="34"/>
      <c r="D11" s="38">
        <f>IF(ISERROR(TER_onderwijs_gas_kWh/1000),0,TER_onderwijs_gas_kWh/1000)*0.902</f>
        <v>0</v>
      </c>
      <c r="E11" s="34">
        <f>$C$31*'E Balans VL '!I11/100/3.6*1000000</f>
        <v>1.6820404520579032E-2</v>
      </c>
      <c r="F11" s="34">
        <f>$C$31*('E Balans VL '!L11+'E Balans VL '!N11)/100/3.6*1000000</f>
        <v>10.550755952525602</v>
      </c>
      <c r="G11" s="35"/>
      <c r="H11" s="34"/>
      <c r="I11" s="34"/>
      <c r="J11" s="34">
        <f>$C$31*('E Balans VL '!D11+'E Balans VL '!E11)/100/3.6*1000000</f>
        <v>0</v>
      </c>
      <c r="K11" s="34"/>
      <c r="L11" s="34"/>
      <c r="M11" s="34"/>
      <c r="N11" s="34">
        <f>$C$31*'E Balans VL '!Y11/100/3.6*1000000</f>
        <v>8.8768521877865852E-2</v>
      </c>
      <c r="O11" s="34"/>
      <c r="P11" s="34"/>
      <c r="R11" s="33"/>
    </row>
    <row r="12" spans="1:18">
      <c r="A12" s="33" t="s">
        <v>260</v>
      </c>
      <c r="B12" s="38">
        <f t="shared" si="0"/>
        <v>12.129919840242401</v>
      </c>
      <c r="C12" s="34"/>
      <c r="D12" s="38">
        <f>IF(ISERROR(TER_rest_gas_kWh/1000),0,TER_rest_gas_kWh/1000)*0.902</f>
        <v>101.473196</v>
      </c>
      <c r="E12" s="34">
        <f>$C$32*'E Balans VL '!I8/100/3.6*1000000</f>
        <v>0.10480663998247335</v>
      </c>
      <c r="F12" s="34">
        <f>$C$32*('E Balans VL '!L8+'E Balans VL '!N8)/100/3.6*1000000</f>
        <v>2.4161267776844588</v>
      </c>
      <c r="G12" s="35"/>
      <c r="H12" s="34"/>
      <c r="I12" s="34"/>
      <c r="J12" s="34">
        <f>$C$32*('E Balans VL '!D8+'E Balans VL '!E8)/100/3.6*1000000</f>
        <v>0</v>
      </c>
      <c r="K12" s="34"/>
      <c r="L12" s="34"/>
      <c r="M12" s="34"/>
      <c r="N12" s="34">
        <f>$C$32*'E Balans VL '!Y8/100/3.6*1000000</f>
        <v>0.79781995456511712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2633.2479198402425</v>
      </c>
      <c r="C16" s="22">
        <f t="shared" ca="1" si="1"/>
        <v>0</v>
      </c>
      <c r="D16" s="22">
        <f t="shared" ca="1" si="1"/>
        <v>195.26225399999998</v>
      </c>
      <c r="E16" s="22">
        <f t="shared" si="1"/>
        <v>20.787233563769536</v>
      </c>
      <c r="F16" s="22">
        <f t="shared" ca="1" si="1"/>
        <v>621.37400219108633</v>
      </c>
      <c r="G16" s="22">
        <f t="shared" si="1"/>
        <v>0</v>
      </c>
      <c r="H16" s="22">
        <f t="shared" si="1"/>
        <v>0</v>
      </c>
      <c r="I16" s="22">
        <f t="shared" si="1"/>
        <v>0</v>
      </c>
      <c r="J16" s="22">
        <f t="shared" si="1"/>
        <v>0</v>
      </c>
      <c r="K16" s="22">
        <f t="shared" si="1"/>
        <v>0</v>
      </c>
      <c r="L16" s="22">
        <f t="shared" ca="1" si="1"/>
        <v>0</v>
      </c>
      <c r="M16" s="22">
        <f t="shared" si="1"/>
        <v>0</v>
      </c>
      <c r="N16" s="22">
        <f t="shared" ca="1" si="1"/>
        <v>120.64243974275327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0.20303809001618781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534.64962818346248</v>
      </c>
      <c r="C20" s="24">
        <f t="shared" ref="C20:P20" ca="1" si="2">C16*C18</f>
        <v>0</v>
      </c>
      <c r="D20" s="24">
        <f t="shared" ca="1" si="2"/>
        <v>39.442975308000001</v>
      </c>
      <c r="E20" s="24">
        <f t="shared" si="2"/>
        <v>4.7187020189756845</v>
      </c>
      <c r="F20" s="24">
        <f t="shared" ca="1" si="2"/>
        <v>165.90685858502005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744.61199999999997</v>
      </c>
      <c r="C26" s="40">
        <f>IF(ISERROR(B26*3.6/1000000/'E Balans VL '!Z12*100),0,B26*3.6/1000000/'E Balans VL '!Z12*100)</f>
        <v>1.5822471015619292E-2</v>
      </c>
      <c r="D26" s="240" t="s">
        <v>707</v>
      </c>
      <c r="F26" s="6"/>
    </row>
    <row r="27" spans="1:18">
      <c r="A27" s="234" t="s">
        <v>53</v>
      </c>
      <c r="B27" s="34">
        <f>IF(ISERROR(TER_horeca_ele_kWh/1000),0,TER_horeca_ele_kWh/1000)</f>
        <v>271.87099999999998</v>
      </c>
      <c r="C27" s="40">
        <f>IF(ISERROR(B27*3.6/1000000/'E Balans VL '!Z9*100),0,B27*3.6/1000000/'E Balans VL '!Z9*100)</f>
        <v>2.139835006932574E-2</v>
      </c>
      <c r="D27" s="240" t="s">
        <v>707</v>
      </c>
      <c r="F27" s="6"/>
    </row>
    <row r="28" spans="1:18">
      <c r="A28" s="174" t="s">
        <v>52</v>
      </c>
      <c r="B28" s="34">
        <f>IF(ISERROR(TER_handel_ele_kWh/1000),0,TER_handel_ele_kWh/1000)</f>
        <v>547.548</v>
      </c>
      <c r="C28" s="40">
        <f>IF(ISERROR(B28*3.6/1000000/'E Balans VL '!Z13*100),0,B28*3.6/1000000/'E Balans VL '!Z13*100)</f>
        <v>1.533711251612062E-2</v>
      </c>
      <c r="D28" s="240" t="s">
        <v>707</v>
      </c>
      <c r="F28" s="6"/>
    </row>
    <row r="29" spans="1:18">
      <c r="A29" s="234" t="s">
        <v>51</v>
      </c>
      <c r="B29" s="34">
        <f>IF(ISERROR(TER_gezond_ele_kWh/1000),0,TER_gezond_ele_kWh/1000)</f>
        <v>839.77499999999998</v>
      </c>
      <c r="C29" s="40">
        <f>IF(ISERROR(B29*3.6/1000000/'E Balans VL '!Z10*100),0,B29*3.6/1000000/'E Balans VL '!Z10*100)</f>
        <v>0.10743261627328123</v>
      </c>
      <c r="D29" s="240" t="s">
        <v>707</v>
      </c>
      <c r="F29" s="6"/>
    </row>
    <row r="30" spans="1:18">
      <c r="A30" s="234" t="s">
        <v>50</v>
      </c>
      <c r="B30" s="34">
        <f>IF(ISERROR(TER_ander_ele_kWh/1000),0,TER_ander_ele_kWh/1000)</f>
        <v>190.02199999999999</v>
      </c>
      <c r="C30" s="40">
        <f>IF(ISERROR(B30*3.6/1000000/'E Balans VL '!Z14*100),0,B30*3.6/1000000/'E Balans VL '!Z14*100)</f>
        <v>1.4212044446657612E-2</v>
      </c>
      <c r="D30" s="240" t="s">
        <v>707</v>
      </c>
      <c r="F30" s="6"/>
    </row>
    <row r="31" spans="1:18">
      <c r="A31" s="234" t="s">
        <v>55</v>
      </c>
      <c r="B31" s="34">
        <f>IF(ISERROR(TER_onderwijs_ele_kWh/1000),0,TER_onderwijs_ele_kWh/1000)</f>
        <v>27.29</v>
      </c>
      <c r="C31" s="40">
        <f>IF(ISERROR(B31*3.6/1000000/'E Balans VL '!Z11*100),0,B31*3.6/1000000/'E Balans VL '!Z11*100)</f>
        <v>5.7623188495855796E-3</v>
      </c>
      <c r="D31" s="240" t="s">
        <v>707</v>
      </c>
    </row>
    <row r="32" spans="1:18">
      <c r="A32" s="234" t="s">
        <v>260</v>
      </c>
      <c r="B32" s="34">
        <f>IF(ISERROR(TER_rest_ele_kWh/1000),0,TER_rest_ele_kWh/1000)</f>
        <v>12.129919840242401</v>
      </c>
      <c r="C32" s="40">
        <f>IF(ISERROR(B32*3.6/1000000/'E Balans VL '!Z8*100),0,B32*3.6/1000000/'E Balans VL '!Z8*100)</f>
        <v>9.9925455603145654E-5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557.697</v>
      </c>
      <c r="C5" s="18">
        <f>IF(ISERROR('Eigen informatie GS &amp; warmtenet'!B59),0,'Eigen informatie GS &amp; warmtenet'!B59)</f>
        <v>0</v>
      </c>
      <c r="D5" s="31">
        <f>SUM(D6:D15)</f>
        <v>12.375440000000001</v>
      </c>
      <c r="E5" s="18">
        <f>SUM(E6:E15)</f>
        <v>3.6673215229755449</v>
      </c>
      <c r="F5" s="18">
        <f>SUM(F6:F15)</f>
        <v>360.80557629750098</v>
      </c>
      <c r="G5" s="19"/>
      <c r="H5" s="18"/>
      <c r="I5" s="18"/>
      <c r="J5" s="18">
        <f>SUM(J6:J15)</f>
        <v>0.73580055637913855</v>
      </c>
      <c r="K5" s="18"/>
      <c r="L5" s="18"/>
      <c r="M5" s="18"/>
      <c r="N5" s="18">
        <f>SUM(N6:N15)</f>
        <v>36.015166322255453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419.26499999999999</v>
      </c>
      <c r="C9" s="34"/>
      <c r="D9" s="38">
        <f>IF( ISERROR(IND_andere_gas_kWh/1000),0,IND_andere_gas_kWh/1000)*0.902</f>
        <v>0</v>
      </c>
      <c r="E9" s="34">
        <f>C31*'E Balans VL '!I19/100/3.6*1000000</f>
        <v>2.4234143539719533</v>
      </c>
      <c r="F9" s="34">
        <f>C31*'E Balans VL '!L19/100/3.6*1000000+C31*'E Balans VL '!N19/100/3.6*1000000</f>
        <v>333.54548173347627</v>
      </c>
      <c r="G9" s="35"/>
      <c r="H9" s="34"/>
      <c r="I9" s="34"/>
      <c r="J9" s="41">
        <f>C31*'E Balans VL '!D19/100/3.6*1000000+C31*'E Balans VL '!E19/100/3.6*1000000</f>
        <v>3.9657811936285731E-2</v>
      </c>
      <c r="K9" s="34"/>
      <c r="L9" s="34"/>
      <c r="M9" s="34"/>
      <c r="N9" s="34">
        <f>C31*'E Balans VL '!Y19/100/3.6*1000000</f>
        <v>31.765668616064367</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138.43199999999999</v>
      </c>
      <c r="C15" s="34"/>
      <c r="D15" s="38">
        <f>IF( ISERROR(IND_rest_gas_kWh/1000),0,IND_rest_gas_kWh/1000)*0.902</f>
        <v>12.375440000000001</v>
      </c>
      <c r="E15" s="34">
        <f>C37*'E Balans VL '!I15/100/3.6*1000000</f>
        <v>1.2439071690035914</v>
      </c>
      <c r="F15" s="34">
        <f>C37*'E Balans VL '!L15/100/3.6*1000000+C37*'E Balans VL '!N15/100/3.6*1000000</f>
        <v>27.260094564024691</v>
      </c>
      <c r="G15" s="35"/>
      <c r="H15" s="34"/>
      <c r="I15" s="34"/>
      <c r="J15" s="41">
        <f>C37*'E Balans VL '!D15/100/3.6*1000000+C37*'E Balans VL '!E15/100/3.6*1000000</f>
        <v>0.69614274444285285</v>
      </c>
      <c r="K15" s="34"/>
      <c r="L15" s="34"/>
      <c r="M15" s="34"/>
      <c r="N15" s="34">
        <f>C37*'E Balans VL '!Y15/100/3.6*1000000</f>
        <v>4.2494977061910841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557.697</v>
      </c>
      <c r="C18" s="22">
        <f>C5+C16</f>
        <v>0</v>
      </c>
      <c r="D18" s="22">
        <f>MAX((D5+D16),0)</f>
        <v>12.375440000000001</v>
      </c>
      <c r="E18" s="22">
        <f>MAX((E5+E16),0)</f>
        <v>3.6673215229755449</v>
      </c>
      <c r="F18" s="22">
        <f>MAX((F5+F16),0)</f>
        <v>360.80557629750098</v>
      </c>
      <c r="G18" s="22"/>
      <c r="H18" s="22"/>
      <c r="I18" s="22"/>
      <c r="J18" s="22">
        <f>MAX((J5+J16),0)</f>
        <v>0.73580055637913855</v>
      </c>
      <c r="K18" s="22"/>
      <c r="L18" s="22">
        <f>MAX((L5+L16),0)</f>
        <v>0</v>
      </c>
      <c r="M18" s="22"/>
      <c r="N18" s="22">
        <f>MAX((N5+N16),0)</f>
        <v>36.015166322255453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0.20303809001618781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113.23373368775789</v>
      </c>
      <c r="C22" s="24">
        <f ca="1">C18*C20</f>
        <v>0</v>
      </c>
      <c r="D22" s="24">
        <f>D18*D20</f>
        <v>2.4998388800000004</v>
      </c>
      <c r="E22" s="24">
        <f>E18*E20</f>
        <v>0.83248198571544874</v>
      </c>
      <c r="F22" s="24">
        <f>F18*F20</f>
        <v>96.33508887143276</v>
      </c>
      <c r="G22" s="24"/>
      <c r="H22" s="24"/>
      <c r="I22" s="24"/>
      <c r="J22" s="24">
        <f>J18*J20</f>
        <v>0.26047339695821503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419.26499999999999</v>
      </c>
      <c r="C31" s="40">
        <f>IF(ISERROR(B31*3.6/1000000/'E Balans VL '!Z19*100),0,B31*3.6/1000000/'E Balans VL '!Z19*100)</f>
        <v>1.9490528733191622E-2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138.43199999999999</v>
      </c>
      <c r="C37" s="40">
        <f>IF(ISERROR(B37*3.6/1000000/'E Balans VL '!Z15*100),0,B37*3.6/1000000/'E Balans VL '!Z15*100)</f>
        <v>1.0453660949867028E-3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1240.3779999999999</v>
      </c>
      <c r="C5" s="18">
        <f>'Eigen informatie GS &amp; warmtenet'!B60</f>
        <v>0</v>
      </c>
      <c r="D5" s="31">
        <f>IF(ISERROR(SUM(LB_lb_gas_kWh,LB_rest_gas_kWh,onbekend_gas_kWh)/1000),0,SUM(LB_lb_gas_kWh,LB_rest_gas_kWh,onbekend_gas_kWh)/1000)*0.902</f>
        <v>28.091888000000001</v>
      </c>
      <c r="E5" s="18">
        <f>B17*'E Balans VL '!I25/3.6*1000000/100</f>
        <v>11.685191840522016</v>
      </c>
      <c r="F5" s="18">
        <f>B17*('E Balans VL '!L25/3.6*1000000+'E Balans VL '!N25/3.6*1000000)/100</f>
        <v>4047.7650593061662</v>
      </c>
      <c r="G5" s="19"/>
      <c r="H5" s="18"/>
      <c r="I5" s="18"/>
      <c r="J5" s="18">
        <f>('E Balans VL '!D25+'E Balans VL '!E25)/3.6*1000000*landbouw!B17/100</f>
        <v>153.44079179743309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1240.3779999999999</v>
      </c>
      <c r="C8" s="22">
        <f>C5+C6</f>
        <v>0</v>
      </c>
      <c r="D8" s="22">
        <f>MAX((D5+D6),0)</f>
        <v>28.091888000000001</v>
      </c>
      <c r="E8" s="22">
        <f>MAX((E5+E6),0)</f>
        <v>11.685191840522016</v>
      </c>
      <c r="F8" s="22">
        <f>MAX((F5+F6),0)</f>
        <v>4047.7650593061662</v>
      </c>
      <c r="G8" s="22"/>
      <c r="H8" s="22"/>
      <c r="I8" s="22"/>
      <c r="J8" s="22">
        <f>MAX((J5+J6),0)</f>
        <v>153.44079179743309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0.20303809001618781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251.84398001809899</v>
      </c>
      <c r="C12" s="24">
        <f ca="1">C8*C10</f>
        <v>0</v>
      </c>
      <c r="D12" s="24">
        <f>D8*D10</f>
        <v>5.6745613760000007</v>
      </c>
      <c r="E12" s="24">
        <f>E8*E10</f>
        <v>2.652538547798498</v>
      </c>
      <c r="F12" s="24">
        <f>F8*F10</f>
        <v>1080.7532708347464</v>
      </c>
      <c r="G12" s="24"/>
      <c r="H12" s="24"/>
      <c r="I12" s="24"/>
      <c r="J12" s="24">
        <f>J8*J10</f>
        <v>54.318040296291315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0.16792736059316474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294.4533537700047</v>
      </c>
      <c r="C26" s="250">
        <f>B26*'GWP N2O_CH4'!B5</f>
        <v>6183.5204291700984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79.338117779413167</v>
      </c>
      <c r="C27" s="250">
        <f>B27*'GWP N2O_CH4'!B5</f>
        <v>1666.1004733676766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4.1424943837017505</v>
      </c>
      <c r="C28" s="250">
        <f>B28*'GWP N2O_CH4'!B4</f>
        <v>1284.1732589475428</v>
      </c>
      <c r="D28" s="51"/>
    </row>
    <row r="29" spans="1:4">
      <c r="A29" s="42" t="s">
        <v>277</v>
      </c>
      <c r="B29" s="250">
        <f>B34*'ha_N2O bodem landbouw'!B4</f>
        <v>14.433709823285602</v>
      </c>
      <c r="C29" s="250">
        <f>B29*'GWP N2O_CH4'!B4</f>
        <v>4474.4500452185366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3.8966472752504084E-3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4.3127213082905137E-6</v>
      </c>
      <c r="C5" s="447" t="s">
        <v>211</v>
      </c>
      <c r="D5" s="432">
        <f>SUM(D6:D11)</f>
        <v>1.4019072093747043E-5</v>
      </c>
      <c r="E5" s="432">
        <f>SUM(E6:E11)</f>
        <v>7.9240406344053974E-4</v>
      </c>
      <c r="F5" s="445" t="s">
        <v>211</v>
      </c>
      <c r="G5" s="432">
        <f>SUM(G6:G11)</f>
        <v>0.13681389944728628</v>
      </c>
      <c r="H5" s="432">
        <f>SUM(H6:H11)</f>
        <v>3.0741644737487261E-2</v>
      </c>
      <c r="I5" s="447" t="s">
        <v>211</v>
      </c>
      <c r="J5" s="447" t="s">
        <v>211</v>
      </c>
      <c r="K5" s="447" t="s">
        <v>211</v>
      </c>
      <c r="L5" s="447" t="s">
        <v>211</v>
      </c>
      <c r="M5" s="432">
        <f>SUM(M6:M11)</f>
        <v>7.4985562238909734E-3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2.5145480420834834E-6</v>
      </c>
      <c r="C6" s="433"/>
      <c r="D6" s="433">
        <f>vkm_2011_GW_PW*SUMIFS(TableVerdeelsleutelVkm[CNG],TableVerdeelsleutelVkm[Voertuigtype],"Lichte voertuigen")*SUMIFS(TableECFTransport[EnergieConsumptieFactor (PJ per km)],TableECFTransport[Index],CONCATENATE($A6,"_CNG_CNG"))</f>
        <v>6.1405684301715955E-6</v>
      </c>
      <c r="E6" s="435">
        <f>vkm_2011_GW_PW*SUMIFS(TableVerdeelsleutelVkm[LPG],TableVerdeelsleutelVkm[Voertuigtype],"Lichte voertuigen")*SUMIFS(TableECFTransport[EnergieConsumptieFactor (PJ per km)],TableECFTransport[Index],CONCATENATE($A6,"_LPG_LPG"))</f>
        <v>3.639811629363282E-4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5.2617758786261952E-2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1.3789602897671628E-2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2.9738439528640328E-3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1.5695658068152252E-2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6.3325861082259606E-6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6.9923671073357963E-4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1.7981732662070299E-6</v>
      </c>
      <c r="C8" s="433"/>
      <c r="D8" s="435">
        <f>vkm_2011_NGW_PW*SUMIFS(TableVerdeelsleutelVkm[CNG],TableVerdeelsleutelVkm[Voertuigtype],"Lichte voertuigen")*SUMIFS(TableECFTransport[EnergieConsumptieFactor (PJ per km)],TableECFTransport[Index],CONCATENATE($A8,"_CNG_CNG"))</f>
        <v>7.8785036635754474E-6</v>
      </c>
      <c r="E8" s="435">
        <f>vkm_2011_NGW_PW*SUMIFS(TableVerdeelsleutelVkm[LPG],TableVerdeelsleutelVkm[Voertuigtype],"Lichte voertuigen")*SUMIFS(TableECFTransport[EnergieConsumptieFactor (PJ per km)],TableECFTransport[Index],CONCATENATE($A8,"_LPG_LPG"))</f>
        <v>4.2842290050421148E-4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5.8507711990491942E-2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1.6942198876054623E-2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3.3803245656819419E-3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9.9927706023801351E-3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3.5103776527842307E-6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4.4515099461141906E-4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1.1979781411918093</v>
      </c>
      <c r="C14" s="22"/>
      <c r="D14" s="22">
        <f t="shared" ref="D14:M14" si="0">((D5)*10^9/3600)+D12</f>
        <v>3.8941866927075122</v>
      </c>
      <c r="E14" s="22">
        <f t="shared" si="0"/>
        <v>220.11223984459437</v>
      </c>
      <c r="F14" s="22"/>
      <c r="G14" s="22">
        <f t="shared" si="0"/>
        <v>38003.86095757952</v>
      </c>
      <c r="H14" s="22">
        <f t="shared" si="0"/>
        <v>8539.3457604131272</v>
      </c>
      <c r="I14" s="22"/>
      <c r="J14" s="22"/>
      <c r="K14" s="22"/>
      <c r="L14" s="22"/>
      <c r="M14" s="22">
        <f t="shared" si="0"/>
        <v>2082.9322844141593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0.20303809001618781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0.24323519366872792</v>
      </c>
      <c r="C18" s="24"/>
      <c r="D18" s="24">
        <f t="shared" ref="D18:M18" si="1">D14*D16</f>
        <v>0.78662571192691755</v>
      </c>
      <c r="E18" s="24">
        <f t="shared" si="1"/>
        <v>49.965478444722926</v>
      </c>
      <c r="F18" s="24"/>
      <c r="G18" s="24">
        <f t="shared" si="1"/>
        <v>10147.030875673732</v>
      </c>
      <c r="H18" s="24">
        <f t="shared" si="1"/>
        <v>2126.2970943428686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4.282940732409023E-3</v>
      </c>
      <c r="H50" s="323">
        <f t="shared" si="2"/>
        <v>0</v>
      </c>
      <c r="I50" s="323">
        <f t="shared" si="2"/>
        <v>0</v>
      </c>
      <c r="J50" s="323">
        <f t="shared" si="2"/>
        <v>0</v>
      </c>
      <c r="K50" s="323">
        <f t="shared" si="2"/>
        <v>0</v>
      </c>
      <c r="L50" s="323">
        <f t="shared" si="2"/>
        <v>0</v>
      </c>
      <c r="M50" s="323">
        <f t="shared" si="2"/>
        <v>1.8807099271275134E-4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4.282940732409023E-3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1.8807099271275134E-4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1189.7057590025063</v>
      </c>
      <c r="H54" s="22">
        <f t="shared" si="3"/>
        <v>0</v>
      </c>
      <c r="I54" s="22">
        <f t="shared" si="3"/>
        <v>0</v>
      </c>
      <c r="J54" s="22">
        <f t="shared" si="3"/>
        <v>0</v>
      </c>
      <c r="K54" s="22">
        <f t="shared" si="3"/>
        <v>0</v>
      </c>
      <c r="L54" s="22">
        <f t="shared" si="3"/>
        <v>0</v>
      </c>
      <c r="M54" s="22">
        <f t="shared" si="3"/>
        <v>52.241942420208709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0.20303809001618781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317.65143765366918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1139.7357163715585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1139.7357163715585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3032.7529198402426</v>
      </c>
      <c r="D10" s="703">
        <f ca="1">tertiair!C16</f>
        <v>0</v>
      </c>
      <c r="E10" s="703">
        <f ca="1">tertiair!D16</f>
        <v>195.26225399999998</v>
      </c>
      <c r="F10" s="703">
        <f>tertiair!E16</f>
        <v>20.787233563769536</v>
      </c>
      <c r="G10" s="703">
        <f ca="1">tertiair!F16</f>
        <v>621.37400219108633</v>
      </c>
      <c r="H10" s="703">
        <f>tertiair!G16</f>
        <v>0</v>
      </c>
      <c r="I10" s="703">
        <f>tertiair!H16</f>
        <v>0</v>
      </c>
      <c r="J10" s="703">
        <f>tertiair!I16</f>
        <v>0</v>
      </c>
      <c r="K10" s="703">
        <f>tertiair!J16</f>
        <v>0</v>
      </c>
      <c r="L10" s="703">
        <f>tertiair!K16</f>
        <v>0</v>
      </c>
      <c r="M10" s="703">
        <f ca="1">tertiair!L16</f>
        <v>0</v>
      </c>
      <c r="N10" s="703">
        <f>tertiair!M16</f>
        <v>0</v>
      </c>
      <c r="O10" s="703">
        <f ca="1">tertiair!N16</f>
        <v>120.64243974275327</v>
      </c>
      <c r="P10" s="703">
        <f>tertiair!O16</f>
        <v>0</v>
      </c>
      <c r="Q10" s="704">
        <f>tertiair!P16</f>
        <v>0</v>
      </c>
      <c r="R10" s="706">
        <f ca="1">SUM(C10:Q10)</f>
        <v>3990.8188493378516</v>
      </c>
      <c r="S10" s="68"/>
    </row>
    <row r="11" spans="1:19" s="458" customFormat="1">
      <c r="A11" s="859" t="s">
        <v>225</v>
      </c>
      <c r="B11" s="864"/>
      <c r="C11" s="703">
        <f>huishoudens!B8</f>
        <v>9191.0703955150439</v>
      </c>
      <c r="D11" s="703">
        <f>huishoudens!C8</f>
        <v>0</v>
      </c>
      <c r="E11" s="703">
        <f>huishoudens!D8</f>
        <v>2174.4577140000001</v>
      </c>
      <c r="F11" s="703">
        <f>huishoudens!E8</f>
        <v>1785.4839699263405</v>
      </c>
      <c r="G11" s="703">
        <f>huishoudens!F8</f>
        <v>18727.228225578699</v>
      </c>
      <c r="H11" s="703">
        <f>huishoudens!G8</f>
        <v>0</v>
      </c>
      <c r="I11" s="703">
        <f>huishoudens!H8</f>
        <v>0</v>
      </c>
      <c r="J11" s="703">
        <f>huishoudens!I8</f>
        <v>0</v>
      </c>
      <c r="K11" s="703">
        <f>huishoudens!J8</f>
        <v>2534.0286113672601</v>
      </c>
      <c r="L11" s="703">
        <f>huishoudens!K8</f>
        <v>0</v>
      </c>
      <c r="M11" s="703">
        <f>huishoudens!L8</f>
        <v>0</v>
      </c>
      <c r="N11" s="703">
        <f>huishoudens!M8</f>
        <v>0</v>
      </c>
      <c r="O11" s="703">
        <f>huishoudens!N8</f>
        <v>5571.0453515598874</v>
      </c>
      <c r="P11" s="703">
        <f>huishoudens!O8</f>
        <v>17.196666666666669</v>
      </c>
      <c r="Q11" s="704">
        <f>huishoudens!P8</f>
        <v>95.333333333333343</v>
      </c>
      <c r="R11" s="706">
        <f>SUM(C11:Q11)</f>
        <v>40095.844267947228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557.697</v>
      </c>
      <c r="D13" s="703">
        <f>industrie!C18</f>
        <v>0</v>
      </c>
      <c r="E13" s="703">
        <f>industrie!D18</f>
        <v>12.375440000000001</v>
      </c>
      <c r="F13" s="703">
        <f>industrie!E18</f>
        <v>3.6673215229755449</v>
      </c>
      <c r="G13" s="703">
        <f>industrie!F18</f>
        <v>360.80557629750098</v>
      </c>
      <c r="H13" s="703">
        <f>industrie!G18</f>
        <v>0</v>
      </c>
      <c r="I13" s="703">
        <f>industrie!H18</f>
        <v>0</v>
      </c>
      <c r="J13" s="703">
        <f>industrie!I18</f>
        <v>0</v>
      </c>
      <c r="K13" s="703">
        <f>industrie!J18</f>
        <v>0.73580055637913855</v>
      </c>
      <c r="L13" s="703">
        <f>industrie!K18</f>
        <v>0</v>
      </c>
      <c r="M13" s="703">
        <f>industrie!L18</f>
        <v>0</v>
      </c>
      <c r="N13" s="703">
        <f>industrie!M18</f>
        <v>0</v>
      </c>
      <c r="O13" s="703">
        <f>industrie!N18</f>
        <v>36.015166322255453</v>
      </c>
      <c r="P13" s="703">
        <f>industrie!O18</f>
        <v>0</v>
      </c>
      <c r="Q13" s="704">
        <f>industrie!P18</f>
        <v>0</v>
      </c>
      <c r="R13" s="706">
        <f>SUM(C13:Q13)</f>
        <v>971.29630469911115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12781.520315355287</v>
      </c>
      <c r="D15" s="708">
        <f t="shared" ref="D15:Q15" ca="1" si="0">SUM(D9:D14)</f>
        <v>0</v>
      </c>
      <c r="E15" s="708">
        <f t="shared" ca="1" si="0"/>
        <v>2382.0954080000001</v>
      </c>
      <c r="F15" s="708">
        <f t="shared" si="0"/>
        <v>1809.9385250130856</v>
      </c>
      <c r="G15" s="708">
        <f t="shared" ca="1" si="0"/>
        <v>19709.407804067287</v>
      </c>
      <c r="H15" s="708">
        <f t="shared" si="0"/>
        <v>0</v>
      </c>
      <c r="I15" s="708">
        <f t="shared" si="0"/>
        <v>0</v>
      </c>
      <c r="J15" s="708">
        <f t="shared" si="0"/>
        <v>0</v>
      </c>
      <c r="K15" s="708">
        <f t="shared" si="0"/>
        <v>2534.7644119236393</v>
      </c>
      <c r="L15" s="708">
        <f t="shared" si="0"/>
        <v>0</v>
      </c>
      <c r="M15" s="708">
        <f t="shared" ca="1" si="0"/>
        <v>0</v>
      </c>
      <c r="N15" s="708">
        <f t="shared" si="0"/>
        <v>0</v>
      </c>
      <c r="O15" s="708">
        <f t="shared" ca="1" si="0"/>
        <v>5727.702957624896</v>
      </c>
      <c r="P15" s="708">
        <f t="shared" si="0"/>
        <v>17.196666666666669</v>
      </c>
      <c r="Q15" s="709">
        <f t="shared" si="0"/>
        <v>95.333333333333343</v>
      </c>
      <c r="R15" s="710">
        <f ca="1">SUM(R9:R14)</f>
        <v>45057.959421984197</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1189.7057590025063</v>
      </c>
      <c r="I18" s="703">
        <f>transport!H54</f>
        <v>0</v>
      </c>
      <c r="J18" s="703">
        <f>transport!I54</f>
        <v>0</v>
      </c>
      <c r="K18" s="703">
        <f>transport!J54</f>
        <v>0</v>
      </c>
      <c r="L18" s="703">
        <f>transport!K54</f>
        <v>0</v>
      </c>
      <c r="M18" s="703">
        <f>transport!L54</f>
        <v>0</v>
      </c>
      <c r="N18" s="703">
        <f>transport!M54</f>
        <v>52.241942420208709</v>
      </c>
      <c r="O18" s="703">
        <f>transport!N54</f>
        <v>0</v>
      </c>
      <c r="P18" s="703">
        <f>transport!O54</f>
        <v>0</v>
      </c>
      <c r="Q18" s="704">
        <f>transport!P54</f>
        <v>0</v>
      </c>
      <c r="R18" s="706">
        <f>SUM(C18:Q18)</f>
        <v>1241.947701422715</v>
      </c>
      <c r="S18" s="68"/>
    </row>
    <row r="19" spans="1:19" s="458" customFormat="1" ht="15" thickBot="1">
      <c r="A19" s="859" t="s">
        <v>307</v>
      </c>
      <c r="B19" s="864"/>
      <c r="C19" s="712">
        <f>transport!B14</f>
        <v>1.1979781411918093</v>
      </c>
      <c r="D19" s="712">
        <f>transport!C14</f>
        <v>0</v>
      </c>
      <c r="E19" s="712">
        <f>transport!D14</f>
        <v>3.8941866927075122</v>
      </c>
      <c r="F19" s="712">
        <f>transport!E14</f>
        <v>220.11223984459437</v>
      </c>
      <c r="G19" s="712">
        <f>transport!F14</f>
        <v>0</v>
      </c>
      <c r="H19" s="712">
        <f>transport!G14</f>
        <v>38003.86095757952</v>
      </c>
      <c r="I19" s="712">
        <f>transport!H14</f>
        <v>8539.3457604131272</v>
      </c>
      <c r="J19" s="712">
        <f>transport!I14</f>
        <v>0</v>
      </c>
      <c r="K19" s="712">
        <f>transport!J14</f>
        <v>0</v>
      </c>
      <c r="L19" s="712">
        <f>transport!K14</f>
        <v>0</v>
      </c>
      <c r="M19" s="712">
        <f>transport!L14</f>
        <v>0</v>
      </c>
      <c r="N19" s="712">
        <f>transport!M14</f>
        <v>2082.9322844141593</v>
      </c>
      <c r="O19" s="712">
        <f>transport!N14</f>
        <v>0</v>
      </c>
      <c r="P19" s="712">
        <f>transport!O14</f>
        <v>0</v>
      </c>
      <c r="Q19" s="713">
        <f>transport!P14</f>
        <v>0</v>
      </c>
      <c r="R19" s="714">
        <f>SUM(C19:Q19)</f>
        <v>48851.343407085296</v>
      </c>
      <c r="S19" s="68"/>
    </row>
    <row r="20" spans="1:19" s="458" customFormat="1" ht="15.75" thickBot="1">
      <c r="A20" s="715" t="s">
        <v>230</v>
      </c>
      <c r="B20" s="867"/>
      <c r="C20" s="862">
        <f>SUM(C17:C19)</f>
        <v>1.1979781411918093</v>
      </c>
      <c r="D20" s="716">
        <f t="shared" ref="D20:R20" si="1">SUM(D17:D19)</f>
        <v>0</v>
      </c>
      <c r="E20" s="716">
        <f t="shared" si="1"/>
        <v>3.8941866927075122</v>
      </c>
      <c r="F20" s="716">
        <f t="shared" si="1"/>
        <v>220.11223984459437</v>
      </c>
      <c r="G20" s="716">
        <f t="shared" si="1"/>
        <v>0</v>
      </c>
      <c r="H20" s="716">
        <f t="shared" si="1"/>
        <v>39193.566716582027</v>
      </c>
      <c r="I20" s="716">
        <f t="shared" si="1"/>
        <v>8539.3457604131272</v>
      </c>
      <c r="J20" s="716">
        <f t="shared" si="1"/>
        <v>0</v>
      </c>
      <c r="K20" s="716">
        <f t="shared" si="1"/>
        <v>0</v>
      </c>
      <c r="L20" s="716">
        <f t="shared" si="1"/>
        <v>0</v>
      </c>
      <c r="M20" s="716">
        <f t="shared" si="1"/>
        <v>0</v>
      </c>
      <c r="N20" s="716">
        <f t="shared" si="1"/>
        <v>2135.1742268343678</v>
      </c>
      <c r="O20" s="716">
        <f t="shared" si="1"/>
        <v>0</v>
      </c>
      <c r="P20" s="716">
        <f t="shared" si="1"/>
        <v>0</v>
      </c>
      <c r="Q20" s="717">
        <f t="shared" si="1"/>
        <v>0</v>
      </c>
      <c r="R20" s="718">
        <f t="shared" si="1"/>
        <v>50093.291108508012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1240.3779999999999</v>
      </c>
      <c r="D22" s="712">
        <f>+landbouw!C8</f>
        <v>0</v>
      </c>
      <c r="E22" s="712">
        <f>+landbouw!D8</f>
        <v>28.091888000000001</v>
      </c>
      <c r="F22" s="712">
        <f>+landbouw!E8</f>
        <v>11.685191840522016</v>
      </c>
      <c r="G22" s="712">
        <f>+landbouw!F8</f>
        <v>4047.7650593061662</v>
      </c>
      <c r="H22" s="712">
        <f>+landbouw!G8</f>
        <v>0</v>
      </c>
      <c r="I22" s="712">
        <f>+landbouw!H8</f>
        <v>0</v>
      </c>
      <c r="J22" s="712">
        <f>+landbouw!I8</f>
        <v>0</v>
      </c>
      <c r="K22" s="712">
        <f>+landbouw!J8</f>
        <v>153.44079179743309</v>
      </c>
      <c r="L22" s="712">
        <f>+landbouw!K8</f>
        <v>0</v>
      </c>
      <c r="M22" s="712">
        <f>+landbouw!L8</f>
        <v>0</v>
      </c>
      <c r="N22" s="712">
        <f>+landbouw!M8</f>
        <v>0</v>
      </c>
      <c r="O22" s="712">
        <f>+landbouw!N8</f>
        <v>0</v>
      </c>
      <c r="P22" s="712">
        <f>+landbouw!O8</f>
        <v>0</v>
      </c>
      <c r="Q22" s="713">
        <f>+landbouw!P8</f>
        <v>0</v>
      </c>
      <c r="R22" s="714">
        <f>SUM(C22:Q22)</f>
        <v>5481.3609309441217</v>
      </c>
      <c r="S22" s="68"/>
    </row>
    <row r="23" spans="1:19" s="458" customFormat="1" ht="17.25" thickTop="1" thickBot="1">
      <c r="A23" s="719" t="s">
        <v>116</v>
      </c>
      <c r="B23" s="853"/>
      <c r="C23" s="720">
        <f ca="1">C20+C15+C22</f>
        <v>14023.096293496479</v>
      </c>
      <c r="D23" s="720">
        <f t="shared" ref="D23:Q23" ca="1" si="2">D20+D15+D22</f>
        <v>0</v>
      </c>
      <c r="E23" s="720">
        <f t="shared" ca="1" si="2"/>
        <v>2414.0814826927076</v>
      </c>
      <c r="F23" s="720">
        <f t="shared" si="2"/>
        <v>2041.735956698202</v>
      </c>
      <c r="G23" s="720">
        <f t="shared" ca="1" si="2"/>
        <v>23757.172863373453</v>
      </c>
      <c r="H23" s="720">
        <f t="shared" si="2"/>
        <v>39193.566716582027</v>
      </c>
      <c r="I23" s="720">
        <f t="shared" si="2"/>
        <v>8539.3457604131272</v>
      </c>
      <c r="J23" s="720">
        <f t="shared" si="2"/>
        <v>0</v>
      </c>
      <c r="K23" s="720">
        <f t="shared" si="2"/>
        <v>2688.2052037210724</v>
      </c>
      <c r="L23" s="720">
        <f t="shared" si="2"/>
        <v>0</v>
      </c>
      <c r="M23" s="720">
        <f t="shared" ca="1" si="2"/>
        <v>0</v>
      </c>
      <c r="N23" s="720">
        <f t="shared" si="2"/>
        <v>2135.1742268343678</v>
      </c>
      <c r="O23" s="720">
        <f t="shared" ca="1" si="2"/>
        <v>5727.702957624896</v>
      </c>
      <c r="P23" s="720">
        <f t="shared" si="2"/>
        <v>17.196666666666669</v>
      </c>
      <c r="Q23" s="721">
        <f t="shared" si="2"/>
        <v>95.333333333333343</v>
      </c>
      <c r="R23" s="722">
        <f ca="1">R20+R15+R22</f>
        <v>100632.61146143633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615.76436033537959</v>
      </c>
      <c r="D36" s="703">
        <f ca="1">tertiair!C20</f>
        <v>0</v>
      </c>
      <c r="E36" s="703">
        <f ca="1">tertiair!D20</f>
        <v>39.442975308000001</v>
      </c>
      <c r="F36" s="703">
        <f>tertiair!E20</f>
        <v>4.7187020189756845</v>
      </c>
      <c r="G36" s="703">
        <f ca="1">tertiair!F20</f>
        <v>165.90685858502005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825.83289624737529</v>
      </c>
    </row>
    <row r="37" spans="1:18">
      <c r="A37" s="874" t="s">
        <v>225</v>
      </c>
      <c r="B37" s="881"/>
      <c r="C37" s="703">
        <f ca="1">huishoudens!B12</f>
        <v>1866.1373783097024</v>
      </c>
      <c r="D37" s="703">
        <f ca="1">huishoudens!C12</f>
        <v>0</v>
      </c>
      <c r="E37" s="703">
        <f>huishoudens!D12</f>
        <v>439.24045822800008</v>
      </c>
      <c r="F37" s="703">
        <f>huishoudens!E12</f>
        <v>405.30486117327928</v>
      </c>
      <c r="G37" s="703">
        <f>huishoudens!F12</f>
        <v>5000.169936229513</v>
      </c>
      <c r="H37" s="703">
        <f>huishoudens!G12</f>
        <v>0</v>
      </c>
      <c r="I37" s="703">
        <f>huishoudens!H12</f>
        <v>0</v>
      </c>
      <c r="J37" s="703">
        <f>huishoudens!I12</f>
        <v>0</v>
      </c>
      <c r="K37" s="703">
        <f>huishoudens!J12</f>
        <v>897.04612842401002</v>
      </c>
      <c r="L37" s="703">
        <f>huishoudens!K12</f>
        <v>0</v>
      </c>
      <c r="M37" s="703">
        <f>huishoudens!L12</f>
        <v>0</v>
      </c>
      <c r="N37" s="703">
        <f>huishoudens!M12</f>
        <v>0</v>
      </c>
      <c r="O37" s="703">
        <f>huishoudens!N12</f>
        <v>0</v>
      </c>
      <c r="P37" s="703">
        <f>huishoudens!O12</f>
        <v>0</v>
      </c>
      <c r="Q37" s="813">
        <f>huishoudens!P12</f>
        <v>0</v>
      </c>
      <c r="R37" s="906">
        <f ca="1">SUM(C37:Q37)</f>
        <v>8607.8987623645044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113.23373368775789</v>
      </c>
      <c r="D39" s="703">
        <f ca="1">industrie!C22</f>
        <v>0</v>
      </c>
      <c r="E39" s="703">
        <f>industrie!D22</f>
        <v>2.4998388800000004</v>
      </c>
      <c r="F39" s="703">
        <f>industrie!E22</f>
        <v>0.83248198571544874</v>
      </c>
      <c r="G39" s="703">
        <f>industrie!F22</f>
        <v>96.33508887143276</v>
      </c>
      <c r="H39" s="703">
        <f>industrie!G22</f>
        <v>0</v>
      </c>
      <c r="I39" s="703">
        <f>industrie!H22</f>
        <v>0</v>
      </c>
      <c r="J39" s="703">
        <f>industrie!I22</f>
        <v>0</v>
      </c>
      <c r="K39" s="703">
        <f>industrie!J22</f>
        <v>0.26047339695821503</v>
      </c>
      <c r="L39" s="703">
        <f>industrie!K22</f>
        <v>0</v>
      </c>
      <c r="M39" s="703">
        <f>industrie!L22</f>
        <v>0</v>
      </c>
      <c r="N39" s="703">
        <f>industrie!M22</f>
        <v>0</v>
      </c>
      <c r="O39" s="703">
        <f>industrie!N22</f>
        <v>0</v>
      </c>
      <c r="P39" s="703">
        <f>industrie!O22</f>
        <v>0</v>
      </c>
      <c r="Q39" s="813">
        <f>industrie!P22</f>
        <v>0</v>
      </c>
      <c r="R39" s="907">
        <f ca="1">SUM(C39:Q39)</f>
        <v>213.1616168218643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2595.13547233284</v>
      </c>
      <c r="D41" s="748">
        <f t="shared" ref="D41:R41" ca="1" si="4">SUM(D35:D40)</f>
        <v>0</v>
      </c>
      <c r="E41" s="748">
        <f t="shared" ca="1" si="4"/>
        <v>481.18327241600008</v>
      </c>
      <c r="F41" s="748">
        <f t="shared" si="4"/>
        <v>410.85604517797043</v>
      </c>
      <c r="G41" s="748">
        <f t="shared" ca="1" si="4"/>
        <v>5262.4118836859661</v>
      </c>
      <c r="H41" s="748">
        <f t="shared" si="4"/>
        <v>0</v>
      </c>
      <c r="I41" s="748">
        <f t="shared" si="4"/>
        <v>0</v>
      </c>
      <c r="J41" s="748">
        <f t="shared" si="4"/>
        <v>0</v>
      </c>
      <c r="K41" s="748">
        <f t="shared" si="4"/>
        <v>897.30660182096824</v>
      </c>
      <c r="L41" s="748">
        <f t="shared" si="4"/>
        <v>0</v>
      </c>
      <c r="M41" s="748">
        <f t="shared" ca="1" si="4"/>
        <v>0</v>
      </c>
      <c r="N41" s="748">
        <f t="shared" si="4"/>
        <v>0</v>
      </c>
      <c r="O41" s="748">
        <f t="shared" ca="1" si="4"/>
        <v>0</v>
      </c>
      <c r="P41" s="748">
        <f t="shared" si="4"/>
        <v>0</v>
      </c>
      <c r="Q41" s="749">
        <f t="shared" si="4"/>
        <v>0</v>
      </c>
      <c r="R41" s="750">
        <f t="shared" ca="1" si="4"/>
        <v>9646.8932754337438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317.65143765366918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317.65143765366918</v>
      </c>
    </row>
    <row r="45" spans="1:18" ht="15" thickBot="1">
      <c r="A45" s="877" t="s">
        <v>307</v>
      </c>
      <c r="B45" s="887"/>
      <c r="C45" s="712">
        <f ca="1">transport!B18</f>
        <v>0.24323519366872792</v>
      </c>
      <c r="D45" s="712">
        <f>transport!C18</f>
        <v>0</v>
      </c>
      <c r="E45" s="712">
        <f>transport!D18</f>
        <v>0.78662571192691755</v>
      </c>
      <c r="F45" s="712">
        <f>transport!E18</f>
        <v>49.965478444722926</v>
      </c>
      <c r="G45" s="712">
        <f>transport!F18</f>
        <v>0</v>
      </c>
      <c r="H45" s="712">
        <f>transport!G18</f>
        <v>10147.030875673732</v>
      </c>
      <c r="I45" s="712">
        <f>transport!H18</f>
        <v>2126.2970943428686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12324.323309366919</v>
      </c>
    </row>
    <row r="46" spans="1:18" ht="15.75" thickBot="1">
      <c r="A46" s="875" t="s">
        <v>230</v>
      </c>
      <c r="B46" s="888"/>
      <c r="C46" s="748">
        <f t="shared" ref="C46:R46" ca="1" si="5">SUM(C43:C45)</f>
        <v>0.24323519366872792</v>
      </c>
      <c r="D46" s="748">
        <f t="shared" ca="1" si="5"/>
        <v>0</v>
      </c>
      <c r="E46" s="748">
        <f t="shared" si="5"/>
        <v>0.78662571192691755</v>
      </c>
      <c r="F46" s="748">
        <f t="shared" si="5"/>
        <v>49.965478444722926</v>
      </c>
      <c r="G46" s="748">
        <f t="shared" si="5"/>
        <v>0</v>
      </c>
      <c r="H46" s="748">
        <f t="shared" si="5"/>
        <v>10464.682313327401</v>
      </c>
      <c r="I46" s="748">
        <f t="shared" si="5"/>
        <v>2126.2970943428686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12641.974747020588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251.84398001809899</v>
      </c>
      <c r="D48" s="703">
        <f ca="1">+landbouw!C12</f>
        <v>0</v>
      </c>
      <c r="E48" s="703">
        <f>+landbouw!D12</f>
        <v>5.6745613760000007</v>
      </c>
      <c r="F48" s="703">
        <f>+landbouw!E12</f>
        <v>2.652538547798498</v>
      </c>
      <c r="G48" s="703">
        <f>+landbouw!F12</f>
        <v>1080.7532708347464</v>
      </c>
      <c r="H48" s="703">
        <f>+landbouw!G12</f>
        <v>0</v>
      </c>
      <c r="I48" s="703">
        <f>+landbouw!H12</f>
        <v>0</v>
      </c>
      <c r="J48" s="703">
        <f>+landbouw!I12</f>
        <v>0</v>
      </c>
      <c r="K48" s="703">
        <f>+landbouw!J12</f>
        <v>54.318040296291315</v>
      </c>
      <c r="L48" s="703">
        <f>+landbouw!K12</f>
        <v>0</v>
      </c>
      <c r="M48" s="703">
        <f>+landbouw!L12</f>
        <v>0</v>
      </c>
      <c r="N48" s="703">
        <f>+landbouw!M12</f>
        <v>0</v>
      </c>
      <c r="O48" s="703">
        <f>+landbouw!N12</f>
        <v>0</v>
      </c>
      <c r="P48" s="703">
        <f>+landbouw!O12</f>
        <v>0</v>
      </c>
      <c r="Q48" s="704">
        <f>+landbouw!P12</f>
        <v>0</v>
      </c>
      <c r="R48" s="746">
        <f ca="1">SUM(C48:Q48)</f>
        <v>1395.2423910729353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2847.2226875446077</v>
      </c>
      <c r="D53" s="758">
        <f t="shared" ref="D53:Q53" ca="1" si="6">D41+D46+D48</f>
        <v>0</v>
      </c>
      <c r="E53" s="758">
        <f t="shared" ca="1" si="6"/>
        <v>487.64445950392701</v>
      </c>
      <c r="F53" s="758">
        <f t="shared" si="6"/>
        <v>463.47406217049183</v>
      </c>
      <c r="G53" s="758">
        <f t="shared" ca="1" si="6"/>
        <v>6343.1651545207123</v>
      </c>
      <c r="H53" s="758">
        <f t="shared" si="6"/>
        <v>10464.682313327401</v>
      </c>
      <c r="I53" s="758">
        <f t="shared" si="6"/>
        <v>2126.2970943428686</v>
      </c>
      <c r="J53" s="758">
        <f t="shared" si="6"/>
        <v>0</v>
      </c>
      <c r="K53" s="758">
        <f t="shared" si="6"/>
        <v>951.62464211725955</v>
      </c>
      <c r="L53" s="758">
        <f t="shared" si="6"/>
        <v>0</v>
      </c>
      <c r="M53" s="758">
        <f t="shared" ca="1" si="6"/>
        <v>0</v>
      </c>
      <c r="N53" s="758">
        <f t="shared" si="6"/>
        <v>0</v>
      </c>
      <c r="O53" s="758">
        <f t="shared" ca="1" si="6"/>
        <v>0</v>
      </c>
      <c r="P53" s="758">
        <f>P41+P46+P48</f>
        <v>0</v>
      </c>
      <c r="Q53" s="759">
        <f t="shared" si="6"/>
        <v>0</v>
      </c>
      <c r="R53" s="760">
        <f ca="1">R41+R46+R48</f>
        <v>23684.110413527265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0.20303809001618781</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1139.7357163715585</v>
      </c>
      <c r="C66" s="780">
        <f>'lokale energieproductie'!B6</f>
        <v>1139.7357163715585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1139.7357163715585</v>
      </c>
      <c r="C69" s="788">
        <f>SUM(C64:C68)</f>
        <v>1139.7357163715585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9191.0703955150439</v>
      </c>
      <c r="C4" s="462">
        <f>huishoudens!C8</f>
        <v>0</v>
      </c>
      <c r="D4" s="462">
        <f>huishoudens!D8</f>
        <v>2174.4577140000001</v>
      </c>
      <c r="E4" s="462">
        <f>huishoudens!E8</f>
        <v>1785.4839699263405</v>
      </c>
      <c r="F4" s="462">
        <f>huishoudens!F8</f>
        <v>18727.228225578699</v>
      </c>
      <c r="G4" s="462">
        <f>huishoudens!G8</f>
        <v>0</v>
      </c>
      <c r="H4" s="462">
        <f>huishoudens!H8</f>
        <v>0</v>
      </c>
      <c r="I4" s="462">
        <f>huishoudens!I8</f>
        <v>0</v>
      </c>
      <c r="J4" s="462">
        <f>huishoudens!J8</f>
        <v>2534.0286113672601</v>
      </c>
      <c r="K4" s="462">
        <f>huishoudens!K8</f>
        <v>0</v>
      </c>
      <c r="L4" s="462">
        <f>huishoudens!L8</f>
        <v>0</v>
      </c>
      <c r="M4" s="462">
        <f>huishoudens!M8</f>
        <v>0</v>
      </c>
      <c r="N4" s="462">
        <f>huishoudens!N8</f>
        <v>5571.0453515598874</v>
      </c>
      <c r="O4" s="462">
        <f>huishoudens!O8</f>
        <v>17.196666666666669</v>
      </c>
      <c r="P4" s="463">
        <f>huishoudens!P8</f>
        <v>95.333333333333343</v>
      </c>
      <c r="Q4" s="464">
        <f>SUM(B4:P4)</f>
        <v>40095.844267947228</v>
      </c>
    </row>
    <row r="5" spans="1:17">
      <c r="A5" s="461" t="s">
        <v>156</v>
      </c>
      <c r="B5" s="462">
        <f ca="1">tertiair!B16</f>
        <v>2633.2479198402425</v>
      </c>
      <c r="C5" s="462">
        <f ca="1">tertiair!C16</f>
        <v>0</v>
      </c>
      <c r="D5" s="462">
        <f ca="1">tertiair!D16</f>
        <v>195.26225399999998</v>
      </c>
      <c r="E5" s="462">
        <f>tertiair!E16</f>
        <v>20.787233563769536</v>
      </c>
      <c r="F5" s="462">
        <f ca="1">tertiair!F16</f>
        <v>621.37400219108633</v>
      </c>
      <c r="G5" s="462">
        <f>tertiair!G16</f>
        <v>0</v>
      </c>
      <c r="H5" s="462">
        <f>tertiair!H16</f>
        <v>0</v>
      </c>
      <c r="I5" s="462">
        <f>tertiair!I16</f>
        <v>0</v>
      </c>
      <c r="J5" s="462">
        <f>tertiair!J16</f>
        <v>0</v>
      </c>
      <c r="K5" s="462">
        <f>tertiair!K16</f>
        <v>0</v>
      </c>
      <c r="L5" s="462">
        <f ca="1">tertiair!L16</f>
        <v>0</v>
      </c>
      <c r="M5" s="462">
        <f>tertiair!M16</f>
        <v>0</v>
      </c>
      <c r="N5" s="462">
        <f ca="1">tertiair!N16</f>
        <v>120.64243974275327</v>
      </c>
      <c r="O5" s="462">
        <f>tertiair!O16</f>
        <v>0</v>
      </c>
      <c r="P5" s="463">
        <f>tertiair!P16</f>
        <v>0</v>
      </c>
      <c r="Q5" s="461">
        <f t="shared" ref="Q5:Q13" ca="1" si="0">SUM(B5:P5)</f>
        <v>3591.3138493378515</v>
      </c>
    </row>
    <row r="6" spans="1:17">
      <c r="A6" s="461" t="s">
        <v>194</v>
      </c>
      <c r="B6" s="462">
        <f>'openbare verlichting'!B8</f>
        <v>399.505</v>
      </c>
      <c r="C6" s="462"/>
      <c r="D6" s="462"/>
      <c r="E6" s="462"/>
      <c r="F6" s="462"/>
      <c r="G6" s="462"/>
      <c r="H6" s="462"/>
      <c r="I6" s="462"/>
      <c r="J6" s="462"/>
      <c r="K6" s="462"/>
      <c r="L6" s="462"/>
      <c r="M6" s="462"/>
      <c r="N6" s="462"/>
      <c r="O6" s="462"/>
      <c r="P6" s="463"/>
      <c r="Q6" s="461">
        <f t="shared" si="0"/>
        <v>399.505</v>
      </c>
    </row>
    <row r="7" spans="1:17">
      <c r="A7" s="461" t="s">
        <v>112</v>
      </c>
      <c r="B7" s="462">
        <f>landbouw!B8</f>
        <v>1240.3779999999999</v>
      </c>
      <c r="C7" s="462">
        <f>landbouw!C8</f>
        <v>0</v>
      </c>
      <c r="D7" s="462">
        <f>landbouw!D8</f>
        <v>28.091888000000001</v>
      </c>
      <c r="E7" s="462">
        <f>landbouw!E8</f>
        <v>11.685191840522016</v>
      </c>
      <c r="F7" s="462">
        <f>landbouw!F8</f>
        <v>4047.7650593061662</v>
      </c>
      <c r="G7" s="462">
        <f>landbouw!G8</f>
        <v>0</v>
      </c>
      <c r="H7" s="462">
        <f>landbouw!H8</f>
        <v>0</v>
      </c>
      <c r="I7" s="462">
        <f>landbouw!I8</f>
        <v>0</v>
      </c>
      <c r="J7" s="462">
        <f>landbouw!J8</f>
        <v>153.44079179743309</v>
      </c>
      <c r="K7" s="462">
        <f>landbouw!K8</f>
        <v>0</v>
      </c>
      <c r="L7" s="462">
        <f>landbouw!L8</f>
        <v>0</v>
      </c>
      <c r="M7" s="462">
        <f>landbouw!M8</f>
        <v>0</v>
      </c>
      <c r="N7" s="462">
        <f>landbouw!N8</f>
        <v>0</v>
      </c>
      <c r="O7" s="462">
        <f>landbouw!O8</f>
        <v>0</v>
      </c>
      <c r="P7" s="463">
        <f>landbouw!P8</f>
        <v>0</v>
      </c>
      <c r="Q7" s="461">
        <f t="shared" si="0"/>
        <v>5481.3609309441217</v>
      </c>
    </row>
    <row r="8" spans="1:17">
      <c r="A8" s="461" t="s">
        <v>685</v>
      </c>
      <c r="B8" s="462">
        <f>industrie!B18</f>
        <v>557.697</v>
      </c>
      <c r="C8" s="462">
        <f>industrie!C18</f>
        <v>0</v>
      </c>
      <c r="D8" s="462">
        <f>industrie!D18</f>
        <v>12.375440000000001</v>
      </c>
      <c r="E8" s="462">
        <f>industrie!E18</f>
        <v>3.6673215229755449</v>
      </c>
      <c r="F8" s="462">
        <f>industrie!F18</f>
        <v>360.80557629750098</v>
      </c>
      <c r="G8" s="462">
        <f>industrie!G18</f>
        <v>0</v>
      </c>
      <c r="H8" s="462">
        <f>industrie!H18</f>
        <v>0</v>
      </c>
      <c r="I8" s="462">
        <f>industrie!I18</f>
        <v>0</v>
      </c>
      <c r="J8" s="462">
        <f>industrie!J18</f>
        <v>0.73580055637913855</v>
      </c>
      <c r="K8" s="462">
        <f>industrie!K18</f>
        <v>0</v>
      </c>
      <c r="L8" s="462">
        <f>industrie!L18</f>
        <v>0</v>
      </c>
      <c r="M8" s="462">
        <f>industrie!M18</f>
        <v>0</v>
      </c>
      <c r="N8" s="462">
        <f>industrie!N18</f>
        <v>36.015166322255453</v>
      </c>
      <c r="O8" s="462">
        <f>industrie!O18</f>
        <v>0</v>
      </c>
      <c r="P8" s="463">
        <f>industrie!P18</f>
        <v>0</v>
      </c>
      <c r="Q8" s="461">
        <f t="shared" si="0"/>
        <v>971.29630469911115</v>
      </c>
    </row>
    <row r="9" spans="1:17" s="467" customFormat="1">
      <c r="A9" s="465" t="s">
        <v>579</v>
      </c>
      <c r="B9" s="466">
        <f>transport!B14</f>
        <v>1.1979781411918093</v>
      </c>
      <c r="C9" s="466"/>
      <c r="D9" s="466">
        <f>transport!D14</f>
        <v>3.8941866927075122</v>
      </c>
      <c r="E9" s="466">
        <f>transport!E14</f>
        <v>220.11223984459437</v>
      </c>
      <c r="F9" s="466"/>
      <c r="G9" s="466">
        <f>transport!G14</f>
        <v>38003.86095757952</v>
      </c>
      <c r="H9" s="466">
        <f>transport!H14</f>
        <v>8539.3457604131272</v>
      </c>
      <c r="I9" s="466"/>
      <c r="J9" s="466"/>
      <c r="K9" s="466"/>
      <c r="L9" s="466"/>
      <c r="M9" s="466">
        <f>transport!M14</f>
        <v>2082.9322844141593</v>
      </c>
      <c r="N9" s="466"/>
      <c r="O9" s="466"/>
      <c r="P9" s="466"/>
      <c r="Q9" s="465">
        <f>SUM(B9:P9)</f>
        <v>48851.343407085296</v>
      </c>
    </row>
    <row r="10" spans="1:17">
      <c r="A10" s="461" t="s">
        <v>569</v>
      </c>
      <c r="B10" s="462">
        <f>transport!B54</f>
        <v>0</v>
      </c>
      <c r="C10" s="462"/>
      <c r="D10" s="462">
        <f>transport!D54</f>
        <v>0</v>
      </c>
      <c r="E10" s="462"/>
      <c r="F10" s="462"/>
      <c r="G10" s="462">
        <f>transport!G54</f>
        <v>1189.7057590025063</v>
      </c>
      <c r="H10" s="462"/>
      <c r="I10" s="462"/>
      <c r="J10" s="462"/>
      <c r="K10" s="462"/>
      <c r="L10" s="462"/>
      <c r="M10" s="462">
        <f>transport!M54</f>
        <v>52.241942420208709</v>
      </c>
      <c r="N10" s="462"/>
      <c r="O10" s="462"/>
      <c r="P10" s="463"/>
      <c r="Q10" s="461">
        <f t="shared" si="0"/>
        <v>1241.947701422715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14023.096293496477</v>
      </c>
      <c r="C14" s="472">
        <f t="shared" ref="C14:Q14" ca="1" si="1">SUM(C4:C13)</f>
        <v>0</v>
      </c>
      <c r="D14" s="472">
        <f t="shared" ca="1" si="1"/>
        <v>2414.0814826927076</v>
      </c>
      <c r="E14" s="472">
        <f t="shared" si="1"/>
        <v>2041.735956698202</v>
      </c>
      <c r="F14" s="472">
        <f t="shared" ca="1" si="1"/>
        <v>23757.172863373453</v>
      </c>
      <c r="G14" s="472">
        <f t="shared" si="1"/>
        <v>39193.566716582027</v>
      </c>
      <c r="H14" s="472">
        <f t="shared" si="1"/>
        <v>8539.3457604131272</v>
      </c>
      <c r="I14" s="472">
        <f t="shared" si="1"/>
        <v>0</v>
      </c>
      <c r="J14" s="472">
        <f t="shared" si="1"/>
        <v>2688.2052037210724</v>
      </c>
      <c r="K14" s="472">
        <f t="shared" si="1"/>
        <v>0</v>
      </c>
      <c r="L14" s="472">
        <f t="shared" ca="1" si="1"/>
        <v>0</v>
      </c>
      <c r="M14" s="472">
        <f t="shared" si="1"/>
        <v>2135.1742268343678</v>
      </c>
      <c r="N14" s="472">
        <f t="shared" ca="1" si="1"/>
        <v>5727.702957624896</v>
      </c>
      <c r="O14" s="472">
        <f t="shared" si="1"/>
        <v>17.196666666666669</v>
      </c>
      <c r="P14" s="473">
        <f t="shared" si="1"/>
        <v>95.333333333333343</v>
      </c>
      <c r="Q14" s="473">
        <f t="shared" ca="1" si="1"/>
        <v>100632.61146143633</v>
      </c>
    </row>
    <row r="16" spans="1:17">
      <c r="A16" s="475" t="s">
        <v>574</v>
      </c>
      <c r="B16" s="829">
        <f ca="1">huishoudens!B10</f>
        <v>0.20303809001618781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1866.1373783097024</v>
      </c>
      <c r="C21" s="462">
        <f t="shared" ref="C21:C28" ca="1" si="3">C4*$C$16</f>
        <v>0</v>
      </c>
      <c r="D21" s="462">
        <f t="shared" ref="D21:D30" si="4">D4*$D$16</f>
        <v>439.24045822800008</v>
      </c>
      <c r="E21" s="462">
        <f t="shared" ref="E21:E30" si="5">E4*$E$16</f>
        <v>405.30486117327928</v>
      </c>
      <c r="F21" s="462">
        <f t="shared" ref="F21:F28" si="6">F4*$F$16</f>
        <v>5000.169936229513</v>
      </c>
      <c r="G21" s="462">
        <f t="shared" ref="G21:G30" si="7">G4*$G$16</f>
        <v>0</v>
      </c>
      <c r="H21" s="462">
        <f t="shared" ref="H21:H30" si="8">H4*$H$16</f>
        <v>0</v>
      </c>
      <c r="I21" s="462">
        <f t="shared" ref="I21:I28" si="9">I4*$I$16</f>
        <v>0</v>
      </c>
      <c r="J21" s="462">
        <f t="shared" ref="J21:J28" si="10">J4*$J$16</f>
        <v>897.04612842401002</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8607.8987623645044</v>
      </c>
    </row>
    <row r="22" spans="1:17">
      <c r="A22" s="461" t="s">
        <v>156</v>
      </c>
      <c r="B22" s="462">
        <f t="shared" ca="1" si="2"/>
        <v>534.64962818346248</v>
      </c>
      <c r="C22" s="462">
        <f t="shared" ca="1" si="3"/>
        <v>0</v>
      </c>
      <c r="D22" s="462">
        <f t="shared" ca="1" si="4"/>
        <v>39.442975308000001</v>
      </c>
      <c r="E22" s="462">
        <f t="shared" si="5"/>
        <v>4.7187020189756845</v>
      </c>
      <c r="F22" s="462">
        <f t="shared" ca="1" si="6"/>
        <v>165.90685858502005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744.71816409545818</v>
      </c>
    </row>
    <row r="23" spans="1:17">
      <c r="A23" s="461" t="s">
        <v>194</v>
      </c>
      <c r="B23" s="462">
        <f t="shared" ca="1" si="2"/>
        <v>81.11473215191711</v>
      </c>
      <c r="C23" s="462"/>
      <c r="D23" s="462"/>
      <c r="E23" s="462"/>
      <c r="F23" s="462"/>
      <c r="G23" s="462"/>
      <c r="H23" s="462"/>
      <c r="I23" s="462"/>
      <c r="J23" s="462"/>
      <c r="K23" s="462"/>
      <c r="L23" s="462"/>
      <c r="M23" s="462"/>
      <c r="N23" s="462"/>
      <c r="O23" s="462"/>
      <c r="P23" s="463"/>
      <c r="Q23" s="461">
        <f t="shared" ca="1" si="17"/>
        <v>81.11473215191711</v>
      </c>
    </row>
    <row r="24" spans="1:17">
      <c r="A24" s="461" t="s">
        <v>112</v>
      </c>
      <c r="B24" s="462">
        <f t="shared" ca="1" si="2"/>
        <v>251.84398001809899</v>
      </c>
      <c r="C24" s="462">
        <f t="shared" ca="1" si="3"/>
        <v>0</v>
      </c>
      <c r="D24" s="462">
        <f t="shared" si="4"/>
        <v>5.6745613760000007</v>
      </c>
      <c r="E24" s="462">
        <f t="shared" si="5"/>
        <v>2.652538547798498</v>
      </c>
      <c r="F24" s="462">
        <f t="shared" si="6"/>
        <v>1080.7532708347464</v>
      </c>
      <c r="G24" s="462">
        <f t="shared" si="7"/>
        <v>0</v>
      </c>
      <c r="H24" s="462">
        <f t="shared" si="8"/>
        <v>0</v>
      </c>
      <c r="I24" s="462">
        <f t="shared" si="9"/>
        <v>0</v>
      </c>
      <c r="J24" s="462">
        <f t="shared" si="10"/>
        <v>54.318040296291315</v>
      </c>
      <c r="K24" s="462">
        <f t="shared" si="11"/>
        <v>0</v>
      </c>
      <c r="L24" s="462">
        <f t="shared" si="12"/>
        <v>0</v>
      </c>
      <c r="M24" s="462">
        <f t="shared" si="13"/>
        <v>0</v>
      </c>
      <c r="N24" s="462">
        <f t="shared" si="14"/>
        <v>0</v>
      </c>
      <c r="O24" s="462">
        <f t="shared" si="15"/>
        <v>0</v>
      </c>
      <c r="P24" s="463">
        <f t="shared" si="16"/>
        <v>0</v>
      </c>
      <c r="Q24" s="461">
        <f t="shared" ca="1" si="17"/>
        <v>1395.2423910729353</v>
      </c>
    </row>
    <row r="25" spans="1:17">
      <c r="A25" s="461" t="s">
        <v>685</v>
      </c>
      <c r="B25" s="462">
        <f t="shared" ca="1" si="2"/>
        <v>113.23373368775789</v>
      </c>
      <c r="C25" s="462">
        <f t="shared" ca="1" si="3"/>
        <v>0</v>
      </c>
      <c r="D25" s="462">
        <f t="shared" si="4"/>
        <v>2.4998388800000004</v>
      </c>
      <c r="E25" s="462">
        <f t="shared" si="5"/>
        <v>0.83248198571544874</v>
      </c>
      <c r="F25" s="462">
        <f t="shared" si="6"/>
        <v>96.33508887143276</v>
      </c>
      <c r="G25" s="462">
        <f t="shared" si="7"/>
        <v>0</v>
      </c>
      <c r="H25" s="462">
        <f t="shared" si="8"/>
        <v>0</v>
      </c>
      <c r="I25" s="462">
        <f t="shared" si="9"/>
        <v>0</v>
      </c>
      <c r="J25" s="462">
        <f t="shared" si="10"/>
        <v>0.26047339695821503</v>
      </c>
      <c r="K25" s="462">
        <f t="shared" si="11"/>
        <v>0</v>
      </c>
      <c r="L25" s="462">
        <f t="shared" si="12"/>
        <v>0</v>
      </c>
      <c r="M25" s="462">
        <f t="shared" si="13"/>
        <v>0</v>
      </c>
      <c r="N25" s="462">
        <f t="shared" si="14"/>
        <v>0</v>
      </c>
      <c r="O25" s="462">
        <f t="shared" si="15"/>
        <v>0</v>
      </c>
      <c r="P25" s="463">
        <f t="shared" si="16"/>
        <v>0</v>
      </c>
      <c r="Q25" s="461">
        <f t="shared" ca="1" si="17"/>
        <v>213.1616168218643</v>
      </c>
    </row>
    <row r="26" spans="1:17" s="467" customFormat="1">
      <c r="A26" s="465" t="s">
        <v>579</v>
      </c>
      <c r="B26" s="823">
        <f t="shared" ca="1" si="2"/>
        <v>0.24323519366872792</v>
      </c>
      <c r="C26" s="466"/>
      <c r="D26" s="466">
        <f t="shared" si="4"/>
        <v>0.78662571192691755</v>
      </c>
      <c r="E26" s="466">
        <f t="shared" si="5"/>
        <v>49.965478444722926</v>
      </c>
      <c r="F26" s="466"/>
      <c r="G26" s="466">
        <f t="shared" si="7"/>
        <v>10147.030875673732</v>
      </c>
      <c r="H26" s="466">
        <f t="shared" si="8"/>
        <v>2126.2970943428686</v>
      </c>
      <c r="I26" s="466"/>
      <c r="J26" s="466"/>
      <c r="K26" s="466"/>
      <c r="L26" s="466"/>
      <c r="M26" s="466">
        <f t="shared" si="13"/>
        <v>0</v>
      </c>
      <c r="N26" s="466"/>
      <c r="O26" s="466"/>
      <c r="P26" s="477"/>
      <c r="Q26" s="465">
        <f t="shared" ca="1" si="17"/>
        <v>12324.323309366919</v>
      </c>
    </row>
    <row r="27" spans="1:17">
      <c r="A27" s="461" t="s">
        <v>569</v>
      </c>
      <c r="B27" s="462">
        <f t="shared" ca="1" si="2"/>
        <v>0</v>
      </c>
      <c r="C27" s="462"/>
      <c r="D27" s="466">
        <f t="shared" si="4"/>
        <v>0</v>
      </c>
      <c r="E27" s="462"/>
      <c r="F27" s="462"/>
      <c r="G27" s="462">
        <f t="shared" si="7"/>
        <v>317.65143765366918</v>
      </c>
      <c r="H27" s="462"/>
      <c r="I27" s="462"/>
      <c r="J27" s="462"/>
      <c r="K27" s="462"/>
      <c r="L27" s="462"/>
      <c r="M27" s="462">
        <f t="shared" si="13"/>
        <v>0</v>
      </c>
      <c r="N27" s="462"/>
      <c r="O27" s="462"/>
      <c r="P27" s="463"/>
      <c r="Q27" s="461">
        <f t="shared" ca="1" si="17"/>
        <v>317.65143765366918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2847.2226875446077</v>
      </c>
      <c r="C31" s="472">
        <f t="shared" ca="1" si="18"/>
        <v>0</v>
      </c>
      <c r="D31" s="472">
        <f t="shared" ca="1" si="18"/>
        <v>487.64445950392701</v>
      </c>
      <c r="E31" s="472">
        <f t="shared" si="18"/>
        <v>463.47406217049183</v>
      </c>
      <c r="F31" s="472">
        <f t="shared" ca="1" si="18"/>
        <v>6343.1651545207123</v>
      </c>
      <c r="G31" s="472">
        <f t="shared" si="18"/>
        <v>10464.682313327401</v>
      </c>
      <c r="H31" s="472">
        <f t="shared" si="18"/>
        <v>2126.2970943428686</v>
      </c>
      <c r="I31" s="472">
        <f t="shared" si="18"/>
        <v>0</v>
      </c>
      <c r="J31" s="472">
        <f t="shared" si="18"/>
        <v>951.62464211725955</v>
      </c>
      <c r="K31" s="472">
        <f t="shared" si="18"/>
        <v>0</v>
      </c>
      <c r="L31" s="472">
        <f t="shared" ca="1" si="18"/>
        <v>0</v>
      </c>
      <c r="M31" s="472">
        <f t="shared" si="18"/>
        <v>0</v>
      </c>
      <c r="N31" s="472">
        <f t="shared" ca="1" si="18"/>
        <v>0</v>
      </c>
      <c r="O31" s="472">
        <f t="shared" si="18"/>
        <v>0</v>
      </c>
      <c r="P31" s="473">
        <f t="shared" si="18"/>
        <v>0</v>
      </c>
      <c r="Q31" s="473">
        <f t="shared" ca="1" si="18"/>
        <v>23684.110413527265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0.20303809001618781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0.20303809001618781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0.20303809001618781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2018-12-05T16:05:33Z</dcterms:modified>
</cp:coreProperties>
</file>