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B50" s="1"/>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G101" i="18"/>
  <c r="C10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E22" l="1"/>
  <c r="D12" i="17"/>
  <c r="E48" i="14" s="1"/>
  <c r="D7" i="48"/>
  <c r="D24" s="1"/>
  <c r="F81" i="14"/>
  <c r="C68"/>
  <c r="Q13"/>
  <c r="L28" i="48"/>
  <c r="K22" i="14"/>
  <c r="P22" i="16"/>
  <c r="Q39" i="14" s="1"/>
  <c r="H19" i="18"/>
  <c r="J7" i="48"/>
  <c r="J24" s="1"/>
  <c r="B101" i="18"/>
  <c r="C16" s="1"/>
  <c r="D101"/>
  <c r="J16" s="1"/>
  <c r="L5" i="17"/>
  <c r="L8" s="1"/>
  <c r="E19" i="18"/>
  <c r="F101"/>
  <c r="I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H14" s="1"/>
  <c r="I14" i="48"/>
  <c r="E5" i="15"/>
  <c r="O20"/>
  <c r="P36" i="14" s="1"/>
  <c r="P10"/>
  <c r="P20" i="15"/>
  <c r="Q36" i="14"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30"/>
  <c r="M25"/>
  <c r="M24"/>
  <c r="I31"/>
  <c r="C50" i="13"/>
  <c r="J5" s="1"/>
  <c r="J8" s="1"/>
  <c r="E7" i="48"/>
  <c r="E24" s="1"/>
  <c r="E12" i="17"/>
  <c r="F48" i="14" s="1"/>
  <c r="C5" i="48"/>
  <c r="C14" s="1"/>
  <c r="E13" i="14" l="1"/>
  <c r="D18" i="22"/>
  <c r="E45" i="14" s="1"/>
  <c r="E46" s="1"/>
  <c r="Q41"/>
  <c r="Q53" s="1"/>
  <c r="Q55" s="1"/>
  <c r="J7" i="18"/>
  <c r="M7" s="1"/>
  <c r="M9" s="1"/>
  <c r="L7" i="48"/>
  <c r="L24" s="1"/>
  <c r="L12" i="17"/>
  <c r="M48" i="14" s="1"/>
  <c r="M22"/>
  <c r="R17"/>
  <c r="F19"/>
  <c r="F20" s="1"/>
  <c r="D78"/>
  <c r="C19" i="18"/>
  <c r="J78" i="14"/>
  <c r="J81" s="1"/>
  <c r="I19" i="18"/>
  <c r="E18" i="22"/>
  <c r="F45" i="14" s="1"/>
  <c r="F46" s="1"/>
  <c r="G14" i="22"/>
  <c r="D9" i="48"/>
  <c r="D26" s="1"/>
  <c r="D8"/>
  <c r="D25" s="1"/>
  <c r="E10" i="14"/>
  <c r="D5" i="48"/>
  <c r="D22"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J14" i="48" l="1"/>
  <c r="O13" i="14"/>
  <c r="O15" s="1"/>
  <c r="N22" i="16"/>
  <c r="O39" i="14" s="1"/>
  <c r="O41" s="1"/>
  <c r="O53" s="1"/>
  <c r="E55"/>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G53" i="14"/>
  <c r="G55" s="1"/>
  <c r="O69" s="1"/>
  <c r="B9" i="6" s="1"/>
  <c r="B12" s="1"/>
  <c r="M53" i="14"/>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<sst xmlns="http://schemas.openxmlformats.org/spreadsheetml/2006/main" count="2205" uniqueCount="914">
  <si>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</si>
  <si>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</si>
  <si>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</si>
  <si>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</si>
  <si>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</si>
  <si>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</si>
  <si>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</si>
  <si>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</si>
  <si>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</si>
  <si>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</si>
  <si>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</si>
  <si>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</si>
  <si>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</si>
  <si>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</si>
  <si>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</si>
  <si>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</si>
  <si>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</si>
  <si>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</si>
  <si>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</si>
  <si>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</si>
  <si>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</si>
  <si>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</si>
  <si>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</si>
  <si>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</si>
  <si>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</si>
  <si>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</si>
  <si>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</si>
  <si>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</si>
  <si>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</si>
  <si>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</si>
  <si>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</si>
  <si>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</si>
  <si>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</si>
  <si>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</si>
  <si>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</si>
  <si>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</si>
  <si>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</si>
  <si>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</si>
  <si>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</si>
  <si>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</si>
  <si>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</si>
  <si>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</si>
  <si>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</si>
  <si>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</si>
  <si>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</si>
  <si>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</si>
  <si>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</si>
  <si>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</si>
  <si>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</si>
  <si>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</si>
  <si>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</si>
  <si>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</si>
  <si>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</si>
  <si>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</si>
  <si>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</si>
  <si>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</si>
  <si>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</si>
  <si>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</si>
  <si>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</si>
  <si>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</si>
  <si>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</si>
  <si>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</si>
  <si>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</si>
  <si>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</si>
  <si>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</si>
  <si>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</si>
  <si>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</si>
  <si>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</si>
  <si>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</si>
  <si>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</si>
  <si>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</si>
  <si>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</si>
  <si>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</si>
  <si>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</si>
  <si>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</si>
  <si>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</si>
  <si>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</si>
  <si>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</si>
  <si>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</si>
  <si>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</si>
  <si>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</si>
  <si>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</si>
  <si>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</si>
  <si>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</si>
  <si>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</si>
  <si>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</si>
  <si>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</si>
  <si>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</si>
  <si>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</si>
  <si>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</si>
  <si>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</si>
  <si>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</si>
  <si>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</si>
  <si>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</si>
  <si>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</si>
  <si>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</si>
  <si>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</si>
  <si>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</si>
  <si>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</si>
  <si>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</si>
  <si>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</si>
  <si>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</si>
  <si>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</si>
  <si>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</si>
  <si>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</si>
  <si>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</si>
  <si>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</si>
  <si>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</si>
  <si>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</si>
  <si>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</si>
  <si>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</si>
  <si>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</si>
  <si>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</si>
  <si>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</si>
  <si>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</si>
  <si>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</si>
  <si>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</si>
  <si>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</si>
  <si>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</si>
  <si>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</si>
  <si>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</si>
  <si>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</si>
  <si>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</si>
  <si>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</si>
  <si>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</si>
  <si>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</si>
  <si>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</si>
  <si>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</si>
  <si>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</si>
  <si>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</si>
  <si>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</si>
  <si>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</si>
  <si>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</si>
  <si>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</si>
  <si>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</si>
  <si>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</si>
  <si>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</si>
  <si>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</si>
  <si>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</si>
  <si>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</si>
  <si>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</si>
  <si>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</si>
  <si>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</si>
  <si>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</si>
  <si>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</si>
  <si>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</si>
  <si>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</si>
  <si>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</si>
  <si>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</si>
  <si>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</si>
  <si>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</si>
  <si>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</si>
  <si>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</si>
  <si>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</si>
  <si>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</si>
  <si>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</si>
  <si>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</si>
  <si>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</si>
  <si>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</si>
  <si>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</si>
  <si>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</si>
  <si>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</si>
  <si>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</si>
  <si>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</si>
  <si>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</si>
  <si>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</si>
  <si>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</si>
  <si>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</si>
  <si>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</si>
  <si>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</si>
  <si>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</si>
  <si>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</si>
  <si>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</si>
  <si>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</si>
  <si>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</si>
  <si>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</si>
  <si>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</si>
  <si>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</si>
  <si>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</si>
  <si>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</si>
  <si>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</si>
  <si>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</si>
  <si>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</si>
  <si>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</si>
  <si>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</si>
  <si>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</si>
  <si>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</si>
  <si>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</si>
  <si>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</si>
  <si>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</si>
  <si>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</si>
  <si>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</si>
  <si>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</si>
  <si>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</si>
  <si>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</si>
  <si>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</si>
  <si>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</si>
  <si>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</si>
  <si>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</si>
  <si>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</si>
  <si>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</si>
  <si>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</si>
  <si>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</si>
  <si>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</si>
  <si>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</si>
  <si>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</si>
  <si>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</si>
  <si>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</si>
  <si>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</si>
  <si>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</si>
  <si>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</si>
  <si>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</si>
  <si>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</si>
  <si>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</si>
  <si>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</si>
  <si>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</si>
  <si>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</si>
  <si>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</si>
  <si>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</si>
  <si>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</si>
  <si>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</si>
  <si>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</si>
  <si>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</si>
  <si>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</si>
  <si>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</si>
  <si>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</si>
  <si>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</si>
  <si>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</si>
  <si>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</si>
  <si>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</si>
  <si>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</si>
  <si>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</si>
  <si>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</si>
  <si>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</si>
  <si>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</si>
  <si>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</si>
  <si>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</si>
  <si>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</si>
  <si>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</si>
  <si>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</si>
  <si>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</si>
  <si>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</si>
  <si>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</si>
  <si>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</si>
  <si>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</si>
  <si>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</si>
  <si>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</si>
  <si>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</si>
  <si>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</si>
  <si>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</si>
  <si>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</si>
  <si>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</si>
  <si>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</si>
  <si>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</si>
  <si>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</si>
  <si>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</si>
  <si>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</si>
  <si>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</si>
  <si>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</si>
  <si>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</si>
  <si>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</si>
  <si>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</si>
  <si>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</si>
  <si>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</si>
  <si>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</si>
  <si>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</si>
  <si>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</si>
  <si>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</si>
  <si>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</si>
  <si>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</si>
  <si>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</si>
  <si>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</si>
  <si>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</si>
  <si>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</si>
  <si>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</si>
  <si>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</si>
  <si>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</si>
  <si>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</si>
  <si>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</si>
  <si>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</si>
  <si>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</si>
  <si>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</si>
  <si>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</si>
  <si>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</si>
  <si>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</si>
  <si>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</si>
  <si>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</si>
  <si>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</si>
  <si>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</si>
  <si>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</si>
  <si>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</si>
  <si>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</si>
  <si>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</si>
  <si>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</si>
  <si>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</si>
  <si>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</si>
  <si>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</si>
  <si>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</si>
  <si>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</si>
  <si>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</si>
  <si>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</si>
  <si>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</si>
  <si>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</si>
  <si>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</si>
  <si>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</si>
  <si>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</si>
  <si>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</si>
  <si>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</si>
  <si>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</si>
  <si>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</si>
  <si>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</si>
  <si>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</si>
  <si>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</si>
  <si>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</si>
  <si>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</si>
  <si>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</si>
  <si>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</si>
  <si>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</si>
  <si>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</si>
  <si>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</si>
  <si>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</si>
  <si>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</si>
  <si>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</si>
  <si>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</si>
  <si>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</si>
  <si>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</si>
  <si>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</si>
  <si>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</si>
  <si>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</si>
  <si>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</si>
  <si>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</si>
  <si>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</si>
  <si>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</si>
  <si>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</si>
  <si>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</si>
  <si>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</si>
  <si>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</si>
  <si>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</si>
  <si>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</si>
  <si>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</si>
  <si>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</si>
  <si>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</si>
  <si>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</si>
  <si>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</si>
  <si>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</si>
  <si>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</si>
  <si>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</si>
  <si>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</si>
  <si>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</si>
  <si>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</si>
  <si>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</si>
  <si>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</si>
  <si>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</si>
  <si>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</si>
  <si>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</si>
  <si>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</si>
  <si>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</si>
  <si>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</si>
  <si>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</si>
  <si>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</si>
  <si>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</si>
  <si>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</si>
  <si>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</si>
  <si>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</si>
  <si>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</si>
  <si>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</si>
  <si>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</si>
  <si>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</si>
  <si>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</si>
  <si>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</si>
  <si>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</si>
  <si>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</si>
  <si>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</si>
  <si>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</si>
  <si>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</si>
  <si>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</si>
  <si>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</si>
  <si>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</si>
  <si>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</si>
  <si>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</si>
  <si>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</si>
  <si>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</si>
  <si>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</si>
  <si>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</si>
  <si>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</si>
  <si>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</si>
  <si>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</si>
  <si>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</si>
  <si>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</si>
  <si>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</si>
  <si>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</si>
  <si>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</si>
  <si>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</si>
  <si>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</si>
  <si>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</si>
  <si>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</si>
  <si>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</si>
  <si>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</si>
  <si>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</si>
  <si>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</si>
  <si>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</si>
  <si>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</si>
  <si>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</si>
  <si>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</si>
  <si>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</si>
  <si>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</si>
  <si>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</si>
  <si>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</si>
  <si>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</si>
  <si>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</si>
  <si>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</si>
  <si>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</si>
  <si>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</si>
  <si>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</si>
  <si>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</si>
  <si>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</si>
  <si>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</si>
  <si>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</si>
  <si>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</si>
  <si>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</si>
  <si>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</si>
  <si>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</si>
  <si>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</si>
  <si>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</si>
  <si>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</si>
  <si>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</si>
  <si>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</si>
  <si>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</si>
  <si>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</si>
  <si>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</si>
  <si>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</si>
  <si>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</si>
  <si>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</si>
  <si>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</si>
  <si>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</si>
  <si>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</si>
  <si>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</si>
  <si>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</si>
  <si>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</si>
  <si>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</si>
  <si>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</si>
  <si>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</si>
  <si>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</si>
  <si>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</si>
  <si>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</si>
  <si>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</si>
  <si>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</si>
  <si>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</si>
  <si>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</si>
  <si>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</si>
  <si>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</si>
  <si>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</si>
  <si>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</si>
  <si>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</si>
  <si>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</si>
  <si>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</si>
  <si>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</si>
  <si>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</si>
  <si>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</si>
  <si>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</si>
  <si>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</si>
  <si>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</si>
  <si>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</si>
  <si>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</si>
  <si>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</si>
  <si>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</si>
  <si>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</si>
  <si>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</si>
  <si>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</si>
  <si>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</si>
  <si>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</si>
  <si>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</si>
  <si>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</si>
  <si>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</si>
  <si>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</si>
  <si>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</si>
  <si>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</si>
  <si>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</si>
  <si>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</si>
  <si>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</si>
  <si>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</si>
  <si>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</si>
  <si>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</si>
  <si>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</si>
  <si>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</si>
  <si>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</si>
  <si>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</si>
  <si>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</si>
  <si>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</si>
  <si>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</si>
  <si>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</si>
  <si>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</si>
  <si>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</si>
  <si>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</si>
  <si>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</si>
  <si>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</si>
  <si>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</si>
  <si>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</si>
  <si>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</si>
  <si>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</si>
  <si>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</si>
  <si>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</si>
  <si>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</si>
  <si>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</si>
  <si>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</si>
  <si>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</si>
  <si>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</si>
  <si>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</si>
  <si>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</si>
  <si>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</si>
  <si>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</si>
  <si>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</si>
  <si>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</si>
  <si>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</si>
  <si>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</si>
  <si>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</si>
  <si>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</si>
  <si>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</si>
  <si>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</si>
  <si>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</si>
  <si>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</si>
  <si>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</si>
  <si>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</si>
  <si>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</si>
  <si>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</si>
  <si>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</si>
  <si>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</si>
  <si>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</si>
  <si>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</si>
  <si>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</si>
  <si>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</si>
  <si>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</si>
  <si>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</si>
  <si>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</si>
  <si>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</si>
  <si>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</si>
  <si>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</si>
  <si>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</si>
  <si>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</si>
  <si>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</si>
  <si>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</si>
  <si>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</si>
  <si>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</si>
  <si>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</si>
  <si>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</si>
  <si>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</si>
  <si>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</si>
  <si>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</si>
  <si>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</si>
  <si>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</si>
  <si>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</si>
  <si>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</si>
  <si>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</si>
  <si>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</si>
  <si>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</si>
  <si>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</si>
  <si>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</si>
  <si>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</si>
  <si>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</si>
  <si>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</si>
  <si>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</si>
  <si>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</si>
  <si>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</si>
  <si>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</si>
  <si>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</si>
  <si>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</si>
  <si>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</si>
  <si>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</si>
  <si>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</si>
  <si>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</si>
  <si>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</si>
  <si>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</si>
  <si>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</si>
  <si>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</si>
  <si>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</si>
  <si>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</si>
  <si>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</si>
  <si>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</si>
  <si>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</si>
  <si>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</si>
  <si>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</si>
  <si>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</si>
  <si>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</si>
  <si>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</si>
  <si>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</si>
  <si>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</si>
  <si>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</si>
  <si>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</si>
  <si>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</si>
  <si>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</si>
  <si>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</si>
  <si>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</si>
  <si>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</si>
  <si>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</si>
  <si>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</si>
  <si>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</si>
  <si>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</si>
  <si>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</si>
  <si>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</si>
  <si>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</si>
  <si>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</si>
  <si>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</si>
  <si>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</si>
  <si>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</si>
  <si>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</si>
  <si>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</si>
  <si>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</si>
  <si>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</si>
  <si>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</si>
  <si>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</si>
  <si>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</si>
  <si>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</si>
  <si>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</si>
  <si>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</si>
  <si>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</si>
  <si>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</si>
  <si>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</si>
  <si>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</si>
  <si>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</si>
  <si>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</si>
  <si>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</si>
  <si>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</si>
  <si>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</si>
  <si>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</si>
  <si>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</si>
  <si>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</si>
  <si>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</si>
  <si>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</si>
  <si>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</si>
  <si>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</si>
  <si>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</si>
  <si>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</si>
  <si>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</si>
  <si>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</si>
  <si>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</si>
  <si>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</si>
  <si>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</si>
  <si>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</si>
  <si>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</si>
  <si>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</si>
  <si>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</si>
  <si>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</si>
  <si>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</si>
  <si>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</si>
  <si>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</si>
  <si>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</si>
  <si>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</si>
  <si>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</si>
  <si>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</si>
  <si>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</si>
  <si>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</si>
  <si>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</si>
  <si>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</si>
  <si>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</si>
  <si>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</si>
  <si>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</si>
  <si>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</si>
  <si>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</si>
  <si>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</si>
  <si>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</si>
  <si>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</si>
  <si>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</si>
  <si>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</si>
  <si>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</si>
  <si>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</si>
  <si>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</si>
  <si>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</si>
  <si>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</si>
  <si>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</si>
  <si>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</si>
  <si>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</si>
  <si>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</si>
  <si>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</si>
  <si>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</si>
  <si>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</si>
  <si>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</si>
  <si>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</si>
  <si>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</si>
  <si>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</si>
  <si>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</si>
  <si>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</si>
  <si>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</si>
  <si>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</si>
  <si>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</si>
  <si>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</si>
  <si>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</si>
  <si>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</si>
  <si>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</si>
  <si>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</si>
  <si>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</si>
  <si>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</si>
  <si>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</si>
  <si>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</si>
  <si>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</si>
  <si>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</si>
  <si>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</si>
  <si>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</si>
  <si>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</si>
  <si>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</si>
  <si>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</si>
  <si>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</si>
  <si>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</si>
  <si>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</si>
  <si>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</si>
  <si>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</si>
  <si>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</si>
  <si>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</si>
  <si>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</si>
  <si>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</si>
  <si>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</si>
  <si>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</si>
  <si>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</si>
  <si>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</si>
  <si>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</si>
  <si>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</si>
  <si>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</si>
  <si>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</si>
  <si>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</si>
  <si>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</si>
  <si>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</si>
  <si>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</si>
  <si>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</si>
  <si>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</si>
  <si>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</si>
  <si>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</si>
  <si>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</si>
  <si>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</si>
  <si>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</si>
  <si>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</si>
  <si>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</si>
  <si>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</si>
  <si>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</si>
  <si>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</si>
  <si>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</si>
  <si>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</si>
  <si>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</si>
  <si>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</si>
  <si>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</si>
  <si>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</si>
  <si>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</si>
  <si>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</si>
  <si>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</si>
  <si>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</si>
  <si>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</si>
  <si>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</si>
  <si>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</si>
  <si>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</si>
  <si>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</si>
  <si>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</si>
  <si>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</si>
  <si>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</si>
  <si>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</si>
  <si>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</si>
  <si>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</si>
  <si>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</si>
  <si>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</si>
  <si>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</si>
  <si>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</si>
  <si>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</si>
  <si>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</si>
  <si>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</si>
  <si>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</si>
  <si>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</si>
  <si>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</si>
  <si>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</si>
  <si>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</si>
  <si>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</si>
  <si>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</si>
  <si>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</si>
  <si>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</si>
  <si>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</si>
  <si>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</si>
  <si>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</si>
  <si>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</si>
  <si>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</si>
  <si>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</si>
  <si>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</si>
  <si>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</si>
  <si>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</si>
  <si>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</si>
  <si>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</si>
  <si>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</si>
  <si>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</si>
  <si>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</si>
  <si>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</si>
  <si>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</si>
  <si>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</si>
  <si>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</si>
  <si>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</si>
  <si>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</si>
  <si>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</si>
  <si>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</si>
  <si>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</si>
  <si>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</si>
  <si>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</si>
  <si>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</si>
  <si>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</si>
  <si>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</si>
  <si>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</si>
  <si>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</si>
  <si>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</si>
  <si>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</si>
  <si>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</si>
  <si>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</si>
  <si>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</si>
  <si>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</si>
  <si>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</si>
  <si>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</si>
  <si>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</si>
  <si>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</si>
  <si>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</si>
  <si>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</si>
  <si>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</si>
  <si>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</si>
  <si>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</si>
  <si>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</si>
  <si>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</si>
  <si>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</si>
  <si>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</si>
  <si>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</si>
  <si>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</si>
  <si>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</si>
  <si>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</si>
  <si>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</si>
  <si>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</si>
  <si>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</si>
  <si>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</si>
  <si>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</si>
  <si>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</si>
  <si>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</si>
  <si>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</si>
  <si>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</si>
  <si>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</si>
  <si>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</si>
  <si>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</si>
  <si>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</si>
  <si>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</si>
  <si>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</si>
  <si>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</si>
  <si>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</si>
  <si>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</si>
  <si>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</si>
  <si>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</si>
  <si>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</si>
  <si>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</si>
  <si>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</si>
  <si>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</si>
  <si>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</si>
  <si>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</si>
  <si>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</si>
  <si>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</si>
  <si>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</si>
  <si>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</si>
  <si>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</si>
  <si>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</si>
  <si>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</si>
  <si>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</si>
  <si>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</si>
  <si>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</si>
  <si>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</si>
  <si>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</si>
  <si>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</si>
  <si>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</si>
  <si>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</si>
  <si>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</si>
  <si>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</si>
  <si>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</si>
  <si>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</si>
  <si>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</si>
  <si>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</si>
  <si>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</si>
  <si>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</si>
  <si>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</si>
  <si>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</si>
  <si>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</si>
  <si>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</si>
  <si>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</si>
  <si>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</si>
  <si>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</si>
  <si>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</si>
  <si>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</si>
  <si>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</si>
  <si>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</si>
  <si>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</si>
  <si>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</si>
  <si>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</si>
  <si>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</si>
  <si>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</si>
  <si>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</si>
  <si>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</si>
  <si>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</si>
  <si>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</si>
  <si>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</si>
  <si>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</si>
  <si>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</si>
  <si>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</si>
  <si>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</si>
  <si>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</si>
  <si>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</si>
  <si>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</si>
  <si>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</si>
  <si>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</si>
  <si>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</si>
  <si>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</si>
  <si>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</si>
  <si>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</si>
  <si>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</si>
  <si>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</si>
  <si>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23039</t>
  </si>
  <si>
    <t>KAPELLE-OP-DEN-BOS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</si>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</sst>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23039</v>
      </c>
      <c r="B6" s="397"/>
      <c r="C6" s="398"/>
    </row>
    <row r="7" spans="1:7" s="395" customFormat="1" ht="15.75" customHeight="1">
      <c r="A7" s="399" t="str">
        <f>txtMunicipality</f>
        <v>KAPELLE-OP-DEN-BOS</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6863.5512320344933</v>
      </c>
      <c r="D10" s="703">
        <f ca="1">tertiair!C16</f>
        <v>0</v>
      </c>
      <c r="E10" s="703">
        <f ca="1">tertiair!D16</f>
        <v>8771.7902012024715</v>
      </c>
      <c r="F10" s="703">
        <f>tertiair!E16</f>
        <v>68.098977746330121</v>
      </c>
      <c r="G10" s="703">
        <f ca="1">tertiair!F16</f>
        <v>1213.9659503390671</v>
      </c>
      <c r="H10" s="703">
        <f>tertiair!G16</f>
        <v>0</v>
      </c>
      <c r="I10" s="703">
        <f>tertiair!H16</f>
        <v>0</v>
      </c>
      <c r="J10" s="703">
        <f>tertiair!I16</f>
        <v>0</v>
      </c>
      <c r="K10" s="703">
        <f>tertiair!J16</f>
        <v>0</v>
      </c>
      <c r="L10" s="703">
        <f>tertiair!K16</f>
        <v>0</v>
      </c>
      <c r="M10" s="703">
        <f ca="1">tertiair!L16</f>
        <v>0</v>
      </c>
      <c r="N10" s="703">
        <f>tertiair!M16</f>
        <v>0</v>
      </c>
      <c r="O10" s="703">
        <f ca="1">tertiair!N16</f>
        <v>386.20750637993069</v>
      </c>
      <c r="P10" s="703">
        <f>tertiair!O16</f>
        <v>0</v>
      </c>
      <c r="Q10" s="704">
        <f>tertiair!P16</f>
        <v>0</v>
      </c>
      <c r="R10" s="706">
        <f ca="1">SUM(C10:Q10)</f>
        <v>17303.613867702294</v>
      </c>
      <c r="S10" s="68"/>
    </row>
    <row r="11" spans="1:19" s="458" customFormat="1">
      <c r="A11" s="859" t="s">
        <v>225</v>
      </c>
      <c r="B11" s="864"/>
      <c r="C11" s="703">
        <f>huishoudens!B8</f>
        <v>17583.192660639615</v>
      </c>
      <c r="D11" s="703">
        <f>huishoudens!C8</f>
        <v>0</v>
      </c>
      <c r="E11" s="703">
        <f>huishoudens!D8</f>
        <v>39243.57081012649</v>
      </c>
      <c r="F11" s="703">
        <f>huishoudens!E8</f>
        <v>743.55811824885996</v>
      </c>
      <c r="G11" s="703">
        <f>huishoudens!F8</f>
        <v>14769.381425506464</v>
      </c>
      <c r="H11" s="703">
        <f>huishoudens!G8</f>
        <v>0</v>
      </c>
      <c r="I11" s="703">
        <f>huishoudens!H8</f>
        <v>0</v>
      </c>
      <c r="J11" s="703">
        <f>huishoudens!I8</f>
        <v>0</v>
      </c>
      <c r="K11" s="703">
        <f>huishoudens!J8</f>
        <v>0</v>
      </c>
      <c r="L11" s="703">
        <f>huishoudens!K8</f>
        <v>0</v>
      </c>
      <c r="M11" s="703">
        <f>huishoudens!L8</f>
        <v>0</v>
      </c>
      <c r="N11" s="703">
        <f>huishoudens!M8</f>
        <v>0</v>
      </c>
      <c r="O11" s="703">
        <f>huishoudens!N8</f>
        <v>3157.732400076216</v>
      </c>
      <c r="P11" s="703">
        <f>huishoudens!O8</f>
        <v>46.9</v>
      </c>
      <c r="Q11" s="704">
        <f>huishoudens!P8</f>
        <v>152.53333333333333</v>
      </c>
      <c r="R11" s="706">
        <f>SUM(C11:Q11)</f>
        <v>75696.868747930974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5216.5432487100952</v>
      </c>
      <c r="D13" s="703">
        <f>industrie!C18</f>
        <v>0</v>
      </c>
      <c r="E13" s="703">
        <f>industrie!D18</f>
        <v>1501.5460167628796</v>
      </c>
      <c r="F13" s="703">
        <f>industrie!E18</f>
        <v>63.640911003480916</v>
      </c>
      <c r="G13" s="703">
        <f>industrie!F18</f>
        <v>1302.8324897578705</v>
      </c>
      <c r="H13" s="703">
        <f>industrie!G18</f>
        <v>0</v>
      </c>
      <c r="I13" s="703">
        <f>industrie!H18</f>
        <v>0</v>
      </c>
      <c r="J13" s="703">
        <f>industrie!I18</f>
        <v>0</v>
      </c>
      <c r="K13" s="703">
        <f>industrie!J18</f>
        <v>26.468085669708252</v>
      </c>
      <c r="L13" s="703">
        <f>industrie!K18</f>
        <v>0</v>
      </c>
      <c r="M13" s="703">
        <f>industrie!L18</f>
        <v>0</v>
      </c>
      <c r="N13" s="703">
        <f>industrie!M18</f>
        <v>0</v>
      </c>
      <c r="O13" s="703">
        <f>industrie!N18</f>
        <v>140.84021538366602</v>
      </c>
      <c r="P13" s="703">
        <f>industrie!O18</f>
        <v>0</v>
      </c>
      <c r="Q13" s="704">
        <f>industrie!P18</f>
        <v>0</v>
      </c>
      <c r="R13" s="706">
        <f>SUM(C13:Q13)</f>
        <v>8251.8709672877012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29663.287141384204</v>
      </c>
      <c r="D15" s="708">
        <f t="shared" ref="D15:Q15" ca="1" si="0">SUM(D9:D14)</f>
        <v>0</v>
      </c>
      <c r="E15" s="708">
        <f t="shared" ca="1" si="0"/>
        <v>49516.907028091839</v>
      </c>
      <c r="F15" s="708">
        <f t="shared" si="0"/>
        <v>875.29800699867099</v>
      </c>
      <c r="G15" s="708">
        <f t="shared" ca="1" si="0"/>
        <v>17286.179865603401</v>
      </c>
      <c r="H15" s="708">
        <f t="shared" si="0"/>
        <v>0</v>
      </c>
      <c r="I15" s="708">
        <f t="shared" si="0"/>
        <v>0</v>
      </c>
      <c r="J15" s="708">
        <f t="shared" si="0"/>
        <v>0</v>
      </c>
      <c r="K15" s="708">
        <f t="shared" si="0"/>
        <v>26.468085669708252</v>
      </c>
      <c r="L15" s="708">
        <f t="shared" si="0"/>
        <v>0</v>
      </c>
      <c r="M15" s="708">
        <f t="shared" ca="1" si="0"/>
        <v>0</v>
      </c>
      <c r="N15" s="708">
        <f t="shared" si="0"/>
        <v>0</v>
      </c>
      <c r="O15" s="708">
        <f t="shared" ca="1" si="0"/>
        <v>3684.7801218398126</v>
      </c>
      <c r="P15" s="708">
        <f t="shared" si="0"/>
        <v>46.9</v>
      </c>
      <c r="Q15" s="709">
        <f t="shared" si="0"/>
        <v>152.53333333333333</v>
      </c>
      <c r="R15" s="710">
        <f ca="1">SUM(R9:R14)</f>
        <v>101252.35358292097</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1127.7131953666456</v>
      </c>
      <c r="I18" s="703">
        <f>transport!H54</f>
        <v>0</v>
      </c>
      <c r="J18" s="703">
        <f>transport!I54</f>
        <v>0</v>
      </c>
      <c r="K18" s="703">
        <f>transport!J54</f>
        <v>0</v>
      </c>
      <c r="L18" s="703">
        <f>transport!K54</f>
        <v>0</v>
      </c>
      <c r="M18" s="703">
        <f>transport!L54</f>
        <v>0</v>
      </c>
      <c r="N18" s="703">
        <f>transport!M54</f>
        <v>49.519746687827656</v>
      </c>
      <c r="O18" s="703">
        <f>transport!N54</f>
        <v>0</v>
      </c>
      <c r="P18" s="703">
        <f>transport!O54</f>
        <v>0</v>
      </c>
      <c r="Q18" s="704">
        <f>transport!P54</f>
        <v>0</v>
      </c>
      <c r="R18" s="706">
        <f>SUM(C18:Q18)</f>
        <v>1177.2329420544731</v>
      </c>
      <c r="S18" s="68"/>
    </row>
    <row r="19" spans="1:19" s="458" customFormat="1" ht="15" thickBot="1">
      <c r="A19" s="859" t="s">
        <v>307</v>
      </c>
      <c r="B19" s="864"/>
      <c r="C19" s="712">
        <f>transport!B14</f>
        <v>0.79513432757472036</v>
      </c>
      <c r="D19" s="712">
        <f>transport!C14</f>
        <v>0</v>
      </c>
      <c r="E19" s="712">
        <f>transport!D14</f>
        <v>3.1886357707115809</v>
      </c>
      <c r="F19" s="712">
        <f>transport!E14</f>
        <v>180.56017660358111</v>
      </c>
      <c r="G19" s="712">
        <f>transport!F14</f>
        <v>0</v>
      </c>
      <c r="H19" s="712">
        <f>transport!G14</f>
        <v>35060.970593000617</v>
      </c>
      <c r="I19" s="712">
        <f>transport!H14</f>
        <v>6943.1194042915959</v>
      </c>
      <c r="J19" s="712">
        <f>transport!I14</f>
        <v>0</v>
      </c>
      <c r="K19" s="712">
        <f>transport!J14</f>
        <v>0</v>
      </c>
      <c r="L19" s="712">
        <f>transport!K14</f>
        <v>0</v>
      </c>
      <c r="M19" s="712">
        <f>transport!L14</f>
        <v>0</v>
      </c>
      <c r="N19" s="712">
        <f>transport!M14</f>
        <v>1878.8733953553058</v>
      </c>
      <c r="O19" s="712">
        <f>transport!N14</f>
        <v>0</v>
      </c>
      <c r="P19" s="712">
        <f>transport!O14</f>
        <v>0</v>
      </c>
      <c r="Q19" s="713">
        <f>transport!P14</f>
        <v>0</v>
      </c>
      <c r="R19" s="714">
        <f>SUM(C19:Q19)</f>
        <v>44067.507339349388</v>
      </c>
      <c r="S19" s="68"/>
    </row>
    <row r="20" spans="1:19" s="458" customFormat="1" ht="15.75" thickBot="1">
      <c r="A20" s="715" t="s">
        <v>230</v>
      </c>
      <c r="B20" s="867"/>
      <c r="C20" s="862">
        <f>SUM(C17:C19)</f>
        <v>0.79513432757472036</v>
      </c>
      <c r="D20" s="716">
        <f t="shared" ref="D20:R20" si="1">SUM(D17:D19)</f>
        <v>0</v>
      </c>
      <c r="E20" s="716">
        <f t="shared" si="1"/>
        <v>3.1886357707115809</v>
      </c>
      <c r="F20" s="716">
        <f t="shared" si="1"/>
        <v>180.56017660358111</v>
      </c>
      <c r="G20" s="716">
        <f t="shared" si="1"/>
        <v>0</v>
      </c>
      <c r="H20" s="716">
        <f t="shared" si="1"/>
        <v>36188.683788367263</v>
      </c>
      <c r="I20" s="716">
        <f t="shared" si="1"/>
        <v>6943.1194042915959</v>
      </c>
      <c r="J20" s="716">
        <f t="shared" si="1"/>
        <v>0</v>
      </c>
      <c r="K20" s="716">
        <f t="shared" si="1"/>
        <v>0</v>
      </c>
      <c r="L20" s="716">
        <f t="shared" si="1"/>
        <v>0</v>
      </c>
      <c r="M20" s="716">
        <f t="shared" si="1"/>
        <v>0</v>
      </c>
      <c r="N20" s="716">
        <f t="shared" si="1"/>
        <v>1928.3931420431334</v>
      </c>
      <c r="O20" s="716">
        <f t="shared" si="1"/>
        <v>0</v>
      </c>
      <c r="P20" s="716">
        <f t="shared" si="1"/>
        <v>0</v>
      </c>
      <c r="Q20" s="717">
        <f t="shared" si="1"/>
        <v>0</v>
      </c>
      <c r="R20" s="718">
        <f t="shared" si="1"/>
        <v>45244.740281403858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480.00325850237937</v>
      </c>
      <c r="D22" s="712">
        <f>+landbouw!C8</f>
        <v>0</v>
      </c>
      <c r="E22" s="712">
        <f>+landbouw!D8</f>
        <v>972.73905986008083</v>
      </c>
      <c r="F22" s="712">
        <f>+landbouw!E8</f>
        <v>4.5219523078255035</v>
      </c>
      <c r="G22" s="712">
        <f>+landbouw!F8</f>
        <v>1566.4099315845949</v>
      </c>
      <c r="H22" s="712">
        <f>+landbouw!G8</f>
        <v>0</v>
      </c>
      <c r="I22" s="712">
        <f>+landbouw!H8</f>
        <v>0</v>
      </c>
      <c r="J22" s="712">
        <f>+landbouw!I8</f>
        <v>0</v>
      </c>
      <c r="K22" s="712">
        <f>+landbouw!J8</f>
        <v>59.378737812145204</v>
      </c>
      <c r="L22" s="712">
        <f>+landbouw!K8</f>
        <v>0</v>
      </c>
      <c r="M22" s="712">
        <f>+landbouw!L8</f>
        <v>0</v>
      </c>
      <c r="N22" s="712">
        <f>+landbouw!M8</f>
        <v>0</v>
      </c>
      <c r="O22" s="712">
        <f>+landbouw!N8</f>
        <v>0</v>
      </c>
      <c r="P22" s="712">
        <f>+landbouw!O8</f>
        <v>0</v>
      </c>
      <c r="Q22" s="713">
        <f>+landbouw!P8</f>
        <v>0</v>
      </c>
      <c r="R22" s="714">
        <f>SUM(C22:Q22)</f>
        <v>3083.0529400670257</v>
      </c>
      <c r="S22" s="68"/>
    </row>
    <row r="23" spans="1:19" s="458" customFormat="1" ht="17.25" thickTop="1" thickBot="1">
      <c r="A23" s="719" t="s">
        <v>116</v>
      </c>
      <c r="B23" s="853"/>
      <c r="C23" s="720">
        <f ca="1">C20+C15+C22</f>
        <v>30144.085534214159</v>
      </c>
      <c r="D23" s="720">
        <f t="shared" ref="D23:Q23" ca="1" si="2">D20+D15+D22</f>
        <v>0</v>
      </c>
      <c r="E23" s="720">
        <f t="shared" ca="1" si="2"/>
        <v>50492.834723722633</v>
      </c>
      <c r="F23" s="720">
        <f t="shared" si="2"/>
        <v>1060.3801359100778</v>
      </c>
      <c r="G23" s="720">
        <f t="shared" ca="1" si="2"/>
        <v>18852.589797187997</v>
      </c>
      <c r="H23" s="720">
        <f t="shared" si="2"/>
        <v>36188.683788367263</v>
      </c>
      <c r="I23" s="720">
        <f t="shared" si="2"/>
        <v>6943.1194042915959</v>
      </c>
      <c r="J23" s="720">
        <f t="shared" si="2"/>
        <v>0</v>
      </c>
      <c r="K23" s="720">
        <f t="shared" si="2"/>
        <v>85.846823481853448</v>
      </c>
      <c r="L23" s="720">
        <f t="shared" si="2"/>
        <v>0</v>
      </c>
      <c r="M23" s="720">
        <f t="shared" ca="1" si="2"/>
        <v>0</v>
      </c>
      <c r="N23" s="720">
        <f t="shared" si="2"/>
        <v>1928.3931420431334</v>
      </c>
      <c r="O23" s="720">
        <f t="shared" ca="1" si="2"/>
        <v>3684.7801218398126</v>
      </c>
      <c r="P23" s="720">
        <f t="shared" si="2"/>
        <v>46.9</v>
      </c>
      <c r="Q23" s="721">
        <f t="shared" si="2"/>
        <v>152.53333333333333</v>
      </c>
      <c r="R23" s="722">
        <f ca="1">R20+R15+R22</f>
        <v>149580.14680439184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1332.8509860493098</v>
      </c>
      <c r="D36" s="703">
        <f ca="1">tertiair!C20</f>
        <v>0</v>
      </c>
      <c r="E36" s="703">
        <f ca="1">tertiair!D20</f>
        <v>1771.9016206428994</v>
      </c>
      <c r="F36" s="703">
        <f>tertiair!E20</f>
        <v>15.458467948416938</v>
      </c>
      <c r="G36" s="703">
        <f ca="1">tertiair!F20</f>
        <v>324.12890874053096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3444.3399833811573</v>
      </c>
    </row>
    <row r="37" spans="1:18">
      <c r="A37" s="874" t="s">
        <v>225</v>
      </c>
      <c r="B37" s="881"/>
      <c r="C37" s="703">
        <f ca="1">huishoudens!B12</f>
        <v>3414.52622459433</v>
      </c>
      <c r="D37" s="703">
        <f ca="1">huishoudens!C12</f>
        <v>0</v>
      </c>
      <c r="E37" s="703">
        <f>huishoudens!D12</f>
        <v>7927.2013036455519</v>
      </c>
      <c r="F37" s="703">
        <f>huishoudens!E12</f>
        <v>168.78769284249123</v>
      </c>
      <c r="G37" s="703">
        <f>huishoudens!F12</f>
        <v>3943.4248406102261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15453.9400616926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1013.0141930551526</v>
      </c>
      <c r="D39" s="703">
        <f ca="1">industrie!C22</f>
        <v>0</v>
      </c>
      <c r="E39" s="703">
        <f>industrie!D22</f>
        <v>303.31229538610171</v>
      </c>
      <c r="F39" s="703">
        <f>industrie!E22</f>
        <v>14.446486797790168</v>
      </c>
      <c r="G39" s="703">
        <f>industrie!F22</f>
        <v>347.85627476535143</v>
      </c>
      <c r="H39" s="703">
        <f>industrie!G22</f>
        <v>0</v>
      </c>
      <c r="I39" s="703">
        <f>industrie!H22</f>
        <v>0</v>
      </c>
      <c r="J39" s="703">
        <f>industrie!I22</f>
        <v>0</v>
      </c>
      <c r="K39" s="703">
        <f>industrie!J22</f>
        <v>9.3697023270767215</v>
      </c>
      <c r="L39" s="703">
        <f>industrie!K22</f>
        <v>0</v>
      </c>
      <c r="M39" s="703">
        <f>industrie!L22</f>
        <v>0</v>
      </c>
      <c r="N39" s="703">
        <f>industrie!M22</f>
        <v>0</v>
      </c>
      <c r="O39" s="703">
        <f>industrie!N22</f>
        <v>0</v>
      </c>
      <c r="P39" s="703">
        <f>industrie!O22</f>
        <v>0</v>
      </c>
      <c r="Q39" s="813">
        <f>industrie!P22</f>
        <v>0</v>
      </c>
      <c r="R39" s="907">
        <f ca="1">SUM(C39:Q39)</f>
        <v>1687.9989523314725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5760.3914036987926</v>
      </c>
      <c r="D41" s="748">
        <f t="shared" ref="D41:R41" ca="1" si="4">SUM(D35:D40)</f>
        <v>0</v>
      </c>
      <c r="E41" s="748">
        <f t="shared" ca="1" si="4"/>
        <v>10002.415219674553</v>
      </c>
      <c r="F41" s="748">
        <f t="shared" si="4"/>
        <v>198.69264758869832</v>
      </c>
      <c r="G41" s="748">
        <f t="shared" ca="1" si="4"/>
        <v>4615.4100241161086</v>
      </c>
      <c r="H41" s="748">
        <f t="shared" si="4"/>
        <v>0</v>
      </c>
      <c r="I41" s="748">
        <f t="shared" si="4"/>
        <v>0</v>
      </c>
      <c r="J41" s="748">
        <f t="shared" si="4"/>
        <v>0</v>
      </c>
      <c r="K41" s="748">
        <f t="shared" si="4"/>
        <v>9.3697023270767215</v>
      </c>
      <c r="L41" s="748">
        <f t="shared" si="4"/>
        <v>0</v>
      </c>
      <c r="M41" s="748">
        <f t="shared" ca="1" si="4"/>
        <v>0</v>
      </c>
      <c r="N41" s="748">
        <f t="shared" si="4"/>
        <v>0</v>
      </c>
      <c r="O41" s="748">
        <f t="shared" ca="1" si="4"/>
        <v>0</v>
      </c>
      <c r="P41" s="748">
        <f t="shared" si="4"/>
        <v>0</v>
      </c>
      <c r="Q41" s="749">
        <f t="shared" si="4"/>
        <v>0</v>
      </c>
      <c r="R41" s="750">
        <f t="shared" ca="1" si="4"/>
        <v>20586.278997405228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301.09942316289437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301.09942316289437</v>
      </c>
    </row>
    <row r="45" spans="1:18" ht="15" thickBot="1">
      <c r="A45" s="877" t="s">
        <v>307</v>
      </c>
      <c r="B45" s="887"/>
      <c r="C45" s="712">
        <f ca="1">transport!B18</f>
        <v>0.15440921714158701</v>
      </c>
      <c r="D45" s="712">
        <f>transport!C18</f>
        <v>0</v>
      </c>
      <c r="E45" s="712">
        <f>transport!D18</f>
        <v>0.64410442568373938</v>
      </c>
      <c r="F45" s="712">
        <f>transport!E18</f>
        <v>40.987160089012917</v>
      </c>
      <c r="G45" s="712">
        <f>transport!F18</f>
        <v>0</v>
      </c>
      <c r="H45" s="712">
        <f>transport!G18</f>
        <v>9361.2791483311648</v>
      </c>
      <c r="I45" s="712">
        <f>transport!H18</f>
        <v>1728.8367316686074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11131.90155373161</v>
      </c>
    </row>
    <row r="46" spans="1:18" ht="15.75" thickBot="1">
      <c r="A46" s="875" t="s">
        <v>230</v>
      </c>
      <c r="B46" s="888"/>
      <c r="C46" s="748">
        <f t="shared" ref="C46:R46" ca="1" si="5">SUM(C43:C45)</f>
        <v>0.15440921714158701</v>
      </c>
      <c r="D46" s="748">
        <f t="shared" ca="1" si="5"/>
        <v>0</v>
      </c>
      <c r="E46" s="748">
        <f t="shared" si="5"/>
        <v>0.64410442568373938</v>
      </c>
      <c r="F46" s="748">
        <f t="shared" si="5"/>
        <v>40.987160089012917</v>
      </c>
      <c r="G46" s="748">
        <f t="shared" si="5"/>
        <v>0</v>
      </c>
      <c r="H46" s="748">
        <f t="shared" si="5"/>
        <v>9662.3785714940586</v>
      </c>
      <c r="I46" s="748">
        <f t="shared" si="5"/>
        <v>1728.8367316686074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11433.000976894504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93.213089663517636</v>
      </c>
      <c r="D48" s="703">
        <f ca="1">+landbouw!C12</f>
        <v>0</v>
      </c>
      <c r="E48" s="703">
        <f>+landbouw!D12</f>
        <v>196.49329009173633</v>
      </c>
      <c r="F48" s="703">
        <f>+landbouw!E12</f>
        <v>1.0264831738763893</v>
      </c>
      <c r="G48" s="703">
        <f>+landbouw!F12</f>
        <v>418.23145173308689</v>
      </c>
      <c r="H48" s="703">
        <f>+landbouw!G12</f>
        <v>0</v>
      </c>
      <c r="I48" s="703">
        <f>+landbouw!H12</f>
        <v>0</v>
      </c>
      <c r="J48" s="703">
        <f>+landbouw!I12</f>
        <v>0</v>
      </c>
      <c r="K48" s="703">
        <f>+landbouw!J12</f>
        <v>21.020073185499403</v>
      </c>
      <c r="L48" s="703">
        <f>+landbouw!K12</f>
        <v>0</v>
      </c>
      <c r="M48" s="703">
        <f>+landbouw!L12</f>
        <v>0</v>
      </c>
      <c r="N48" s="703">
        <f>+landbouw!M12</f>
        <v>0</v>
      </c>
      <c r="O48" s="703">
        <f>+landbouw!N12</f>
        <v>0</v>
      </c>
      <c r="P48" s="703">
        <f>+landbouw!O12</f>
        <v>0</v>
      </c>
      <c r="Q48" s="704">
        <f>+landbouw!P12</f>
        <v>0</v>
      </c>
      <c r="R48" s="746">
        <f ca="1">SUM(C48:Q48)</f>
        <v>729.98438784771668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5853.7589025794523</v>
      </c>
      <c r="D53" s="758">
        <f t="shared" ref="D53:Q53" ca="1" si="6">D41+D46+D48</f>
        <v>0</v>
      </c>
      <c r="E53" s="758">
        <f t="shared" ca="1" si="6"/>
        <v>10199.552614191973</v>
      </c>
      <c r="F53" s="758">
        <f t="shared" si="6"/>
        <v>240.70629085158762</v>
      </c>
      <c r="G53" s="758">
        <f t="shared" ca="1" si="6"/>
        <v>5033.6414758491956</v>
      </c>
      <c r="H53" s="758">
        <f t="shared" si="6"/>
        <v>9662.3785714940586</v>
      </c>
      <c r="I53" s="758">
        <f t="shared" si="6"/>
        <v>1728.8367316686074</v>
      </c>
      <c r="J53" s="758">
        <f t="shared" si="6"/>
        <v>0</v>
      </c>
      <c r="K53" s="758">
        <f t="shared" si="6"/>
        <v>30.389775512576122</v>
      </c>
      <c r="L53" s="758">
        <f t="shared" si="6"/>
        <v>0</v>
      </c>
      <c r="M53" s="758">
        <f t="shared" ca="1" si="6"/>
        <v>0</v>
      </c>
      <c r="N53" s="758">
        <f t="shared" si="6"/>
        <v>0</v>
      </c>
      <c r="O53" s="758">
        <f t="shared" ca="1" si="6"/>
        <v>0</v>
      </c>
      <c r="P53" s="758">
        <f>P41+P46+P48</f>
        <v>0</v>
      </c>
      <c r="Q53" s="759">
        <f t="shared" si="6"/>
        <v>0</v>
      </c>
      <c r="R53" s="760">
        <f ca="1">R41+R46+R48</f>
        <v>32749.264362147445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0.19419261851335032</v>
      </c>
      <c r="D55" s="824">
        <f t="shared" ca="1" si="7"/>
        <v>0</v>
      </c>
      <c r="E55" s="824">
        <f t="shared" ca="1" si="7"/>
        <v>0.20200000000000001</v>
      </c>
      <c r="F55" s="824">
        <f t="shared" si="7"/>
        <v>0.22699999999999998</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1986.5611266008218</v>
      </c>
      <c r="C64" s="780">
        <f>'lokale energieproductie'!B4</f>
        <v>1986.5611266008218</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1669.9275633624234</v>
      </c>
      <c r="C66" s="780">
        <f>'lokale energieproductie'!B6</f>
        <v>1669.9275633624234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3656.4886899632452</v>
      </c>
      <c r="C69" s="788">
        <f>SUM(C64:C68)</f>
        <v>3656.4886899632452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17583.192660639615</v>
      </c>
      <c r="C4" s="462">
        <f>huishoudens!C8</f>
        <v>0</v>
      </c>
      <c r="D4" s="462">
        <f>huishoudens!D8</f>
        <v>39243.57081012649</v>
      </c>
      <c r="E4" s="462">
        <f>huishoudens!E8</f>
        <v>743.55811824885996</v>
      </c>
      <c r="F4" s="462">
        <f>huishoudens!F8</f>
        <v>14769.381425506464</v>
      </c>
      <c r="G4" s="462">
        <f>huishoudens!G8</f>
        <v>0</v>
      </c>
      <c r="H4" s="462">
        <f>huishoudens!H8</f>
        <v>0</v>
      </c>
      <c r="I4" s="462">
        <f>huishoudens!I8</f>
        <v>0</v>
      </c>
      <c r="J4" s="462">
        <f>huishoudens!J8</f>
        <v>0</v>
      </c>
      <c r="K4" s="462">
        <f>huishoudens!K8</f>
        <v>0</v>
      </c>
      <c r="L4" s="462">
        <f>huishoudens!L8</f>
        <v>0</v>
      </c>
      <c r="M4" s="462">
        <f>huishoudens!M8</f>
        <v>0</v>
      </c>
      <c r="N4" s="462">
        <f>huishoudens!N8</f>
        <v>3157.732400076216</v>
      </c>
      <c r="O4" s="462">
        <f>huishoudens!O8</f>
        <v>46.9</v>
      </c>
      <c r="P4" s="463">
        <f>huishoudens!P8</f>
        <v>152.53333333333333</v>
      </c>
      <c r="Q4" s="464">
        <f>SUM(B4:P4)</f>
        <v>75696.868747930974</v>
      </c>
    </row>
    <row r="5" spans="1:17">
      <c r="A5" s="461" t="s">
        <v>156</v>
      </c>
      <c r="B5" s="462">
        <f ca="1">tertiair!B16</f>
        <v>6063.3092320344931</v>
      </c>
      <c r="C5" s="462">
        <f ca="1">tertiair!C16</f>
        <v>0</v>
      </c>
      <c r="D5" s="462">
        <f ca="1">tertiair!D16</f>
        <v>8771.7902012024715</v>
      </c>
      <c r="E5" s="462">
        <f>tertiair!E16</f>
        <v>68.098977746330121</v>
      </c>
      <c r="F5" s="462">
        <f ca="1">tertiair!F16</f>
        <v>1213.9659503390671</v>
      </c>
      <c r="G5" s="462">
        <f>tertiair!G16</f>
        <v>0</v>
      </c>
      <c r="H5" s="462">
        <f>tertiair!H16</f>
        <v>0</v>
      </c>
      <c r="I5" s="462">
        <f>tertiair!I16</f>
        <v>0</v>
      </c>
      <c r="J5" s="462">
        <f>tertiair!J16</f>
        <v>0</v>
      </c>
      <c r="K5" s="462">
        <f>tertiair!K16</f>
        <v>0</v>
      </c>
      <c r="L5" s="462">
        <f ca="1">tertiair!L16</f>
        <v>0</v>
      </c>
      <c r="M5" s="462">
        <f>tertiair!M16</f>
        <v>0</v>
      </c>
      <c r="N5" s="462">
        <f ca="1">tertiair!N16</f>
        <v>386.20750637993069</v>
      </c>
      <c r="O5" s="462">
        <f>tertiair!O16</f>
        <v>0</v>
      </c>
      <c r="P5" s="463">
        <f>tertiair!P16</f>
        <v>0</v>
      </c>
      <c r="Q5" s="461">
        <f t="shared" ref="Q5:Q13" ca="1" si="0">SUM(B5:P5)</f>
        <v>16503.371867702292</v>
      </c>
    </row>
    <row r="6" spans="1:17">
      <c r="A6" s="461" t="s">
        <v>194</v>
      </c>
      <c r="B6" s="462">
        <f>'openbare verlichting'!B8</f>
        <v>800.24199999999996</v>
      </c>
      <c r="C6" s="462"/>
      <c r="D6" s="462"/>
      <c r="E6" s="462"/>
      <c r="F6" s="462"/>
      <c r="G6" s="462"/>
      <c r="H6" s="462"/>
      <c r="I6" s="462"/>
      <c r="J6" s="462"/>
      <c r="K6" s="462"/>
      <c r="L6" s="462"/>
      <c r="M6" s="462"/>
      <c r="N6" s="462"/>
      <c r="O6" s="462"/>
      <c r="P6" s="463"/>
      <c r="Q6" s="461">
        <f t="shared" si="0"/>
        <v>800.24199999999996</v>
      </c>
    </row>
    <row r="7" spans="1:17">
      <c r="A7" s="461" t="s">
        <v>112</v>
      </c>
      <c r="B7" s="462">
        <f>landbouw!B8</f>
        <v>480.00325850237937</v>
      </c>
      <c r="C7" s="462">
        <f>landbouw!C8</f>
        <v>0</v>
      </c>
      <c r="D7" s="462">
        <f>landbouw!D8</f>
        <v>972.73905986008083</v>
      </c>
      <c r="E7" s="462">
        <f>landbouw!E8</f>
        <v>4.5219523078255035</v>
      </c>
      <c r="F7" s="462">
        <f>landbouw!F8</f>
        <v>1566.4099315845949</v>
      </c>
      <c r="G7" s="462">
        <f>landbouw!G8</f>
        <v>0</v>
      </c>
      <c r="H7" s="462">
        <f>landbouw!H8</f>
        <v>0</v>
      </c>
      <c r="I7" s="462">
        <f>landbouw!I8</f>
        <v>0</v>
      </c>
      <c r="J7" s="462">
        <f>landbouw!J8</f>
        <v>59.378737812145204</v>
      </c>
      <c r="K7" s="462">
        <f>landbouw!K8</f>
        <v>0</v>
      </c>
      <c r="L7" s="462">
        <f>landbouw!L8</f>
        <v>0</v>
      </c>
      <c r="M7" s="462">
        <f>landbouw!M8</f>
        <v>0</v>
      </c>
      <c r="N7" s="462">
        <f>landbouw!N8</f>
        <v>0</v>
      </c>
      <c r="O7" s="462">
        <f>landbouw!O8</f>
        <v>0</v>
      </c>
      <c r="P7" s="463">
        <f>landbouw!P8</f>
        <v>0</v>
      </c>
      <c r="Q7" s="461">
        <f t="shared" si="0"/>
        <v>3083.0529400670257</v>
      </c>
    </row>
    <row r="8" spans="1:17">
      <c r="A8" s="461" t="s">
        <v>685</v>
      </c>
      <c r="B8" s="462">
        <f>industrie!B18</f>
        <v>5216.5432487100952</v>
      </c>
      <c r="C8" s="462">
        <f>industrie!C18</f>
        <v>0</v>
      </c>
      <c r="D8" s="462">
        <f>industrie!D18</f>
        <v>1501.5460167628796</v>
      </c>
      <c r="E8" s="462">
        <f>industrie!E18</f>
        <v>63.640911003480916</v>
      </c>
      <c r="F8" s="462">
        <f>industrie!F18</f>
        <v>1302.8324897578705</v>
      </c>
      <c r="G8" s="462">
        <f>industrie!G18</f>
        <v>0</v>
      </c>
      <c r="H8" s="462">
        <f>industrie!H18</f>
        <v>0</v>
      </c>
      <c r="I8" s="462">
        <f>industrie!I18</f>
        <v>0</v>
      </c>
      <c r="J8" s="462">
        <f>industrie!J18</f>
        <v>26.468085669708252</v>
      </c>
      <c r="K8" s="462">
        <f>industrie!K18</f>
        <v>0</v>
      </c>
      <c r="L8" s="462">
        <f>industrie!L18</f>
        <v>0</v>
      </c>
      <c r="M8" s="462">
        <f>industrie!M18</f>
        <v>0</v>
      </c>
      <c r="N8" s="462">
        <f>industrie!N18</f>
        <v>140.84021538366602</v>
      </c>
      <c r="O8" s="462">
        <f>industrie!O18</f>
        <v>0</v>
      </c>
      <c r="P8" s="463">
        <f>industrie!P18</f>
        <v>0</v>
      </c>
      <c r="Q8" s="461">
        <f t="shared" si="0"/>
        <v>8251.8709672877012</v>
      </c>
    </row>
    <row r="9" spans="1:17" s="467" customFormat="1">
      <c r="A9" s="465" t="s">
        <v>579</v>
      </c>
      <c r="B9" s="466">
        <f>transport!B14</f>
        <v>0.79513432757472036</v>
      </c>
      <c r="C9" s="466"/>
      <c r="D9" s="466">
        <f>transport!D14</f>
        <v>3.1886357707115809</v>
      </c>
      <c r="E9" s="466">
        <f>transport!E14</f>
        <v>180.56017660358111</v>
      </c>
      <c r="F9" s="466"/>
      <c r="G9" s="466">
        <f>transport!G14</f>
        <v>35060.970593000617</v>
      </c>
      <c r="H9" s="466">
        <f>transport!H14</f>
        <v>6943.1194042915959</v>
      </c>
      <c r="I9" s="466"/>
      <c r="J9" s="466"/>
      <c r="K9" s="466"/>
      <c r="L9" s="466"/>
      <c r="M9" s="466">
        <f>transport!M14</f>
        <v>1878.8733953553058</v>
      </c>
      <c r="N9" s="466"/>
      <c r="O9" s="466"/>
      <c r="P9" s="466"/>
      <c r="Q9" s="465">
        <f>SUM(B9:P9)</f>
        <v>44067.507339349388</v>
      </c>
    </row>
    <row r="10" spans="1:17">
      <c r="A10" s="461" t="s">
        <v>569</v>
      </c>
      <c r="B10" s="462">
        <f>transport!B54</f>
        <v>0</v>
      </c>
      <c r="C10" s="462"/>
      <c r="D10" s="462">
        <f>transport!D54</f>
        <v>0</v>
      </c>
      <c r="E10" s="462"/>
      <c r="F10" s="462"/>
      <c r="G10" s="462">
        <f>transport!G54</f>
        <v>1127.7131953666456</v>
      </c>
      <c r="H10" s="462"/>
      <c r="I10" s="462"/>
      <c r="J10" s="462"/>
      <c r="K10" s="462"/>
      <c r="L10" s="462"/>
      <c r="M10" s="462">
        <f>transport!M54</f>
        <v>49.519746687827656</v>
      </c>
      <c r="N10" s="462"/>
      <c r="O10" s="462"/>
      <c r="P10" s="463"/>
      <c r="Q10" s="461">
        <f t="shared" si="0"/>
        <v>1177.2329420544731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30144.085534214159</v>
      </c>
      <c r="C14" s="472">
        <f t="shared" ref="C14:Q14" ca="1" si="1">SUM(C4:C13)</f>
        <v>0</v>
      </c>
      <c r="D14" s="472">
        <f t="shared" ca="1" si="1"/>
        <v>50492.834723722633</v>
      </c>
      <c r="E14" s="472">
        <f t="shared" si="1"/>
        <v>1060.3801359100776</v>
      </c>
      <c r="F14" s="472">
        <f t="shared" ca="1" si="1"/>
        <v>18852.589797187997</v>
      </c>
      <c r="G14" s="472">
        <f t="shared" si="1"/>
        <v>36188.683788367263</v>
      </c>
      <c r="H14" s="472">
        <f t="shared" si="1"/>
        <v>6943.1194042915959</v>
      </c>
      <c r="I14" s="472">
        <f t="shared" si="1"/>
        <v>0</v>
      </c>
      <c r="J14" s="472">
        <f t="shared" si="1"/>
        <v>85.846823481853448</v>
      </c>
      <c r="K14" s="472">
        <f t="shared" si="1"/>
        <v>0</v>
      </c>
      <c r="L14" s="472">
        <f t="shared" ca="1" si="1"/>
        <v>0</v>
      </c>
      <c r="M14" s="472">
        <f t="shared" si="1"/>
        <v>1928.3931420431334</v>
      </c>
      <c r="N14" s="472">
        <f t="shared" ca="1" si="1"/>
        <v>3684.7801218398126</v>
      </c>
      <c r="O14" s="472">
        <f t="shared" si="1"/>
        <v>46.9</v>
      </c>
      <c r="P14" s="473">
        <f t="shared" si="1"/>
        <v>152.53333333333333</v>
      </c>
      <c r="Q14" s="473">
        <f t="shared" ca="1" si="1"/>
        <v>149580.14680439184</v>
      </c>
    </row>
    <row r="16" spans="1:17">
      <c r="A16" s="475" t="s">
        <v>574</v>
      </c>
      <c r="B16" s="829">
        <f ca="1">huishoudens!B10</f>
        <v>0.19419261851335032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3414.52622459433</v>
      </c>
      <c r="C21" s="462">
        <f t="shared" ref="C21:C28" ca="1" si="3">C4*$C$16</f>
        <v>0</v>
      </c>
      <c r="D21" s="462">
        <f t="shared" ref="D21:D30" si="4">D4*$D$16</f>
        <v>7927.2013036455519</v>
      </c>
      <c r="E21" s="462">
        <f t="shared" ref="E21:E30" si="5">E4*$E$16</f>
        <v>168.78769284249123</v>
      </c>
      <c r="F21" s="462">
        <f t="shared" ref="F21:F28" si="6">F4*$F$16</f>
        <v>3943.4248406102261</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15453.9400616926</v>
      </c>
    </row>
    <row r="22" spans="1:17">
      <c r="A22" s="461" t="s">
        <v>156</v>
      </c>
      <c r="B22" s="462">
        <f t="shared" ca="1" si="2"/>
        <v>1177.4498966249494</v>
      </c>
      <c r="C22" s="462">
        <f t="shared" ca="1" si="3"/>
        <v>0</v>
      </c>
      <c r="D22" s="462">
        <f t="shared" ca="1" si="4"/>
        <v>1771.9016206428994</v>
      </c>
      <c r="E22" s="462">
        <f t="shared" si="5"/>
        <v>15.458467948416938</v>
      </c>
      <c r="F22" s="462">
        <f t="shared" ca="1" si="6"/>
        <v>324.12890874053096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3288.9388939567971</v>
      </c>
    </row>
    <row r="23" spans="1:17">
      <c r="A23" s="461" t="s">
        <v>194</v>
      </c>
      <c r="B23" s="462">
        <f t="shared" ca="1" si="2"/>
        <v>155.40108942436046</v>
      </c>
      <c r="C23" s="462"/>
      <c r="D23" s="462"/>
      <c r="E23" s="462"/>
      <c r="F23" s="462"/>
      <c r="G23" s="462"/>
      <c r="H23" s="462"/>
      <c r="I23" s="462"/>
      <c r="J23" s="462"/>
      <c r="K23" s="462"/>
      <c r="L23" s="462"/>
      <c r="M23" s="462"/>
      <c r="N23" s="462"/>
      <c r="O23" s="462"/>
      <c r="P23" s="463"/>
      <c r="Q23" s="461">
        <f t="shared" ca="1" si="17"/>
        <v>155.40108942436046</v>
      </c>
    </row>
    <row r="24" spans="1:17">
      <c r="A24" s="461" t="s">
        <v>112</v>
      </c>
      <c r="B24" s="462">
        <f t="shared" ca="1" si="2"/>
        <v>93.213089663517636</v>
      </c>
      <c r="C24" s="462">
        <f t="shared" ca="1" si="3"/>
        <v>0</v>
      </c>
      <c r="D24" s="462">
        <f t="shared" si="4"/>
        <v>196.49329009173633</v>
      </c>
      <c r="E24" s="462">
        <f t="shared" si="5"/>
        <v>1.0264831738763893</v>
      </c>
      <c r="F24" s="462">
        <f t="shared" si="6"/>
        <v>418.23145173308689</v>
      </c>
      <c r="G24" s="462">
        <f t="shared" si="7"/>
        <v>0</v>
      </c>
      <c r="H24" s="462">
        <f t="shared" si="8"/>
        <v>0</v>
      </c>
      <c r="I24" s="462">
        <f t="shared" si="9"/>
        <v>0</v>
      </c>
      <c r="J24" s="462">
        <f t="shared" si="10"/>
        <v>21.020073185499403</v>
      </c>
      <c r="K24" s="462">
        <f t="shared" si="11"/>
        <v>0</v>
      </c>
      <c r="L24" s="462">
        <f t="shared" si="12"/>
        <v>0</v>
      </c>
      <c r="M24" s="462">
        <f t="shared" si="13"/>
        <v>0</v>
      </c>
      <c r="N24" s="462">
        <f t="shared" si="14"/>
        <v>0</v>
      </c>
      <c r="O24" s="462">
        <f t="shared" si="15"/>
        <v>0</v>
      </c>
      <c r="P24" s="463">
        <f t="shared" si="16"/>
        <v>0</v>
      </c>
      <c r="Q24" s="461">
        <f t="shared" ca="1" si="17"/>
        <v>729.98438784771668</v>
      </c>
    </row>
    <row r="25" spans="1:17">
      <c r="A25" s="461" t="s">
        <v>685</v>
      </c>
      <c r="B25" s="462">
        <f t="shared" ca="1" si="2"/>
        <v>1013.0141930551526</v>
      </c>
      <c r="C25" s="462">
        <f t="shared" ca="1" si="3"/>
        <v>0</v>
      </c>
      <c r="D25" s="462">
        <f t="shared" si="4"/>
        <v>303.31229538610171</v>
      </c>
      <c r="E25" s="462">
        <f t="shared" si="5"/>
        <v>14.446486797790168</v>
      </c>
      <c r="F25" s="462">
        <f t="shared" si="6"/>
        <v>347.85627476535143</v>
      </c>
      <c r="G25" s="462">
        <f t="shared" si="7"/>
        <v>0</v>
      </c>
      <c r="H25" s="462">
        <f t="shared" si="8"/>
        <v>0</v>
      </c>
      <c r="I25" s="462">
        <f t="shared" si="9"/>
        <v>0</v>
      </c>
      <c r="J25" s="462">
        <f t="shared" si="10"/>
        <v>9.3697023270767215</v>
      </c>
      <c r="K25" s="462">
        <f t="shared" si="11"/>
        <v>0</v>
      </c>
      <c r="L25" s="462">
        <f t="shared" si="12"/>
        <v>0</v>
      </c>
      <c r="M25" s="462">
        <f t="shared" si="13"/>
        <v>0</v>
      </c>
      <c r="N25" s="462">
        <f t="shared" si="14"/>
        <v>0</v>
      </c>
      <c r="O25" s="462">
        <f t="shared" si="15"/>
        <v>0</v>
      </c>
      <c r="P25" s="463">
        <f t="shared" si="16"/>
        <v>0</v>
      </c>
      <c r="Q25" s="461">
        <f t="shared" ca="1" si="17"/>
        <v>1687.9989523314725</v>
      </c>
    </row>
    <row r="26" spans="1:17" s="467" customFormat="1">
      <c r="A26" s="465" t="s">
        <v>579</v>
      </c>
      <c r="B26" s="823">
        <f t="shared" ca="1" si="2"/>
        <v>0.15440921714158701</v>
      </c>
      <c r="C26" s="466"/>
      <c r="D26" s="466">
        <f t="shared" si="4"/>
        <v>0.64410442568373938</v>
      </c>
      <c r="E26" s="466">
        <f t="shared" si="5"/>
        <v>40.987160089012917</v>
      </c>
      <c r="F26" s="466"/>
      <c r="G26" s="466">
        <f t="shared" si="7"/>
        <v>9361.2791483311648</v>
      </c>
      <c r="H26" s="466">
        <f t="shared" si="8"/>
        <v>1728.8367316686074</v>
      </c>
      <c r="I26" s="466"/>
      <c r="J26" s="466"/>
      <c r="K26" s="466"/>
      <c r="L26" s="466"/>
      <c r="M26" s="466">
        <f t="shared" si="13"/>
        <v>0</v>
      </c>
      <c r="N26" s="466"/>
      <c r="O26" s="466"/>
      <c r="P26" s="477"/>
      <c r="Q26" s="465">
        <f t="shared" ca="1" si="17"/>
        <v>11131.90155373161</v>
      </c>
    </row>
    <row r="27" spans="1:17">
      <c r="A27" s="461" t="s">
        <v>569</v>
      </c>
      <c r="B27" s="462">
        <f t="shared" ca="1" si="2"/>
        <v>0</v>
      </c>
      <c r="C27" s="462"/>
      <c r="D27" s="466">
        <f t="shared" si="4"/>
        <v>0</v>
      </c>
      <c r="E27" s="462"/>
      <c r="F27" s="462"/>
      <c r="G27" s="462">
        <f t="shared" si="7"/>
        <v>301.09942316289437</v>
      </c>
      <c r="H27" s="462"/>
      <c r="I27" s="462"/>
      <c r="J27" s="462"/>
      <c r="K27" s="462"/>
      <c r="L27" s="462"/>
      <c r="M27" s="462">
        <f t="shared" si="13"/>
        <v>0</v>
      </c>
      <c r="N27" s="462"/>
      <c r="O27" s="462"/>
      <c r="P27" s="463"/>
      <c r="Q27" s="461">
        <f t="shared" ca="1" si="17"/>
        <v>301.09942316289437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5853.7589025794514</v>
      </c>
      <c r="C31" s="472">
        <f t="shared" ca="1" si="18"/>
        <v>0</v>
      </c>
      <c r="D31" s="472">
        <f t="shared" ca="1" si="18"/>
        <v>10199.552614191973</v>
      </c>
      <c r="E31" s="472">
        <f t="shared" si="18"/>
        <v>240.70629085158762</v>
      </c>
      <c r="F31" s="472">
        <f t="shared" ca="1" si="18"/>
        <v>5033.6414758491956</v>
      </c>
      <c r="G31" s="472">
        <f t="shared" si="18"/>
        <v>9662.3785714940586</v>
      </c>
      <c r="H31" s="472">
        <f t="shared" si="18"/>
        <v>1728.8367316686074</v>
      </c>
      <c r="I31" s="472">
        <f t="shared" si="18"/>
        <v>0</v>
      </c>
      <c r="J31" s="472">
        <f t="shared" si="18"/>
        <v>30.389775512576122</v>
      </c>
      <c r="K31" s="472">
        <f t="shared" si="18"/>
        <v>0</v>
      </c>
      <c r="L31" s="472">
        <f t="shared" ca="1" si="18"/>
        <v>0</v>
      </c>
      <c r="M31" s="472">
        <f t="shared" si="18"/>
        <v>0</v>
      </c>
      <c r="N31" s="472">
        <f t="shared" ca="1" si="18"/>
        <v>0</v>
      </c>
      <c r="O31" s="472">
        <f t="shared" si="18"/>
        <v>0</v>
      </c>
      <c r="P31" s="473">
        <f t="shared" si="18"/>
        <v>0</v>
      </c>
      <c r="Q31" s="473">
        <f t="shared" ca="1" si="18"/>
        <v>32749.264362147449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0.19419261851335032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0.19419261851335032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0.19419261851335032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23039</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3790</v>
      </c>
      <c r="C9" s="338">
        <v>3893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741</v>
      </c>
    </row>
    <row r="15" spans="1:6">
      <c r="A15" s="1260" t="s">
        <v>184</v>
      </c>
      <c r="B15" s="335">
        <v>1</v>
      </c>
    </row>
    <row r="16" spans="1:6">
      <c r="A16" s="1260" t="s">
        <v>6</v>
      </c>
      <c r="B16" s="335">
        <v>90</v>
      </c>
    </row>
    <row r="17" spans="1:6">
      <c r="A17" s="1260" t="s">
        <v>7</v>
      </c>
      <c r="B17" s="335">
        <v>185</v>
      </c>
    </row>
    <row r="18" spans="1:6">
      <c r="A18" s="1260" t="s">
        <v>8</v>
      </c>
      <c r="B18" s="335">
        <v>245</v>
      </c>
    </row>
    <row r="19" spans="1:6">
      <c r="A19" s="1260" t="s">
        <v>9</v>
      </c>
      <c r="B19" s="335">
        <v>223</v>
      </c>
    </row>
    <row r="20" spans="1:6">
      <c r="A20" s="1260" t="s">
        <v>10</v>
      </c>
      <c r="B20" s="335">
        <v>160</v>
      </c>
    </row>
    <row r="21" spans="1:6">
      <c r="A21" s="1260" t="s">
        <v>11</v>
      </c>
      <c r="B21" s="335">
        <v>4</v>
      </c>
    </row>
    <row r="22" spans="1:6">
      <c r="A22" s="1260" t="s">
        <v>12</v>
      </c>
      <c r="B22" s="335">
        <v>4</v>
      </c>
    </row>
    <row r="23" spans="1:6">
      <c r="A23" s="1260" t="s">
        <v>13</v>
      </c>
      <c r="B23" s="335">
        <v>0</v>
      </c>
    </row>
    <row r="24" spans="1:6">
      <c r="A24" s="1260" t="s">
        <v>14</v>
      </c>
      <c r="B24" s="335">
        <v>0</v>
      </c>
    </row>
    <row r="25" spans="1:6">
      <c r="A25" s="1260" t="s">
        <v>15</v>
      </c>
      <c r="B25" s="335">
        <v>2</v>
      </c>
    </row>
    <row r="26" spans="1:6">
      <c r="A26" s="1260" t="s">
        <v>16</v>
      </c>
      <c r="B26" s="335">
        <v>148</v>
      </c>
    </row>
    <row r="27" spans="1:6">
      <c r="A27" s="1260" t="s">
        <v>17</v>
      </c>
      <c r="B27" s="335">
        <v>0</v>
      </c>
    </row>
    <row r="28" spans="1:6" s="341" customFormat="1">
      <c r="A28" s="1261" t="s">
        <v>18</v>
      </c>
      <c r="B28" s="1261">
        <v>0</v>
      </c>
    </row>
    <row r="29" spans="1:6">
      <c r="A29" s="1261" t="s">
        <v>910</v>
      </c>
      <c r="B29" s="1261">
        <v>96</v>
      </c>
      <c r="C29" s="341"/>
      <c r="D29" s="341"/>
      <c r="E29" s="341"/>
      <c r="F29" s="341"/>
    </row>
    <row r="30" spans="1:6">
      <c r="A30" s="1256" t="s">
        <v>911</v>
      </c>
      <c r="B30" s="1256">
        <v>19</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9160.3157692425993</v>
      </c>
      <c r="E38" s="335">
        <v>2</v>
      </c>
      <c r="F38" s="335">
        <v>17895.8125</v>
      </c>
    </row>
    <row r="39" spans="1:6">
      <c r="A39" s="1260" t="s">
        <v>30</v>
      </c>
      <c r="B39" s="1260" t="s">
        <v>31</v>
      </c>
      <c r="C39" s="335">
        <v>2333</v>
      </c>
      <c r="D39" s="335">
        <v>43507284.711891897</v>
      </c>
      <c r="E39" s="335">
        <v>3734</v>
      </c>
      <c r="F39" s="335">
        <v>16166429.2877352</v>
      </c>
    </row>
    <row r="40" spans="1:6">
      <c r="A40" s="1260" t="s">
        <v>30</v>
      </c>
      <c r="B40" s="1260" t="s">
        <v>29</v>
      </c>
      <c r="C40" s="335">
        <v>0</v>
      </c>
      <c r="D40" s="335">
        <v>0</v>
      </c>
      <c r="E40" s="335">
        <v>0</v>
      </c>
      <c r="F40" s="335">
        <v>0</v>
      </c>
    </row>
    <row r="41" spans="1:6">
      <c r="A41" s="1260" t="s">
        <v>32</v>
      </c>
      <c r="B41" s="1260" t="s">
        <v>33</v>
      </c>
      <c r="C41" s="335">
        <v>5</v>
      </c>
      <c r="D41" s="335">
        <v>120733.124773074</v>
      </c>
      <c r="E41" s="335">
        <v>41</v>
      </c>
      <c r="F41" s="335">
        <v>316387.43587272702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3</v>
      </c>
      <c r="F44" s="335">
        <v>7464.3907082274</v>
      </c>
    </row>
    <row r="45" spans="1:6">
      <c r="A45" s="1260" t="s">
        <v>32</v>
      </c>
      <c r="B45" s="1260" t="s">
        <v>37</v>
      </c>
      <c r="C45" s="335">
        <v>3</v>
      </c>
      <c r="D45" s="335">
        <v>118018.305588898</v>
      </c>
      <c r="E45" s="335">
        <v>7</v>
      </c>
      <c r="F45" s="335">
        <v>1086389.9713810501</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17</v>
      </c>
      <c r="D48" s="335">
        <v>1425933.7323463201</v>
      </c>
      <c r="E48" s="335">
        <v>30</v>
      </c>
      <c r="F48" s="335">
        <v>3806301.4507480902</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7</v>
      </c>
      <c r="D51" s="335">
        <v>280197.05715112702</v>
      </c>
      <c r="E51" s="335">
        <v>29</v>
      </c>
      <c r="F51" s="335">
        <v>453317.70161146898</v>
      </c>
    </row>
    <row r="52" spans="1:6">
      <c r="A52" s="1260" t="s">
        <v>42</v>
      </c>
      <c r="B52" s="1260" t="s">
        <v>29</v>
      </c>
      <c r="C52" s="335">
        <v>1</v>
      </c>
      <c r="D52" s="335">
        <v>19885.368568365298</v>
      </c>
      <c r="E52" s="335">
        <v>5</v>
      </c>
      <c r="F52" s="335">
        <v>26685.5568909104</v>
      </c>
    </row>
    <row r="53" spans="1:6">
      <c r="A53" s="1260" t="s">
        <v>44</v>
      </c>
      <c r="B53" s="1260" t="s">
        <v>45</v>
      </c>
      <c r="C53" s="335">
        <v>39</v>
      </c>
      <c r="D53" s="335">
        <v>778342.25261762599</v>
      </c>
      <c r="E53" s="335">
        <v>100</v>
      </c>
      <c r="F53" s="335">
        <v>483935.59899606102</v>
      </c>
    </row>
    <row r="54" spans="1:6">
      <c r="A54" s="1260" t="s">
        <v>46</v>
      </c>
      <c r="B54" s="1260" t="s">
        <v>47</v>
      </c>
      <c r="C54" s="335">
        <v>0</v>
      </c>
      <c r="D54" s="335">
        <v>0</v>
      </c>
      <c r="E54" s="335">
        <v>1</v>
      </c>
      <c r="F54" s="335">
        <v>800242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11</v>
      </c>
      <c r="D57" s="335">
        <v>332428.74592287402</v>
      </c>
      <c r="E57" s="335">
        <v>57</v>
      </c>
      <c r="F57" s="335">
        <v>433684.06013979402</v>
      </c>
    </row>
    <row r="58" spans="1:6">
      <c r="A58" s="1260" t="s">
        <v>49</v>
      </c>
      <c r="B58" s="1260" t="s">
        <v>51</v>
      </c>
      <c r="C58" s="335">
        <v>3</v>
      </c>
      <c r="D58" s="335">
        <v>37226.237661961102</v>
      </c>
      <c r="E58" s="335">
        <v>10</v>
      </c>
      <c r="F58" s="335">
        <v>116812.98103895799</v>
      </c>
    </row>
    <row r="59" spans="1:6">
      <c r="A59" s="1260" t="s">
        <v>49</v>
      </c>
      <c r="B59" s="1260" t="s">
        <v>52</v>
      </c>
      <c r="C59" s="335">
        <v>11</v>
      </c>
      <c r="D59" s="335">
        <v>460141.62657830201</v>
      </c>
      <c r="E59" s="335">
        <v>65</v>
      </c>
      <c r="F59" s="335">
        <v>1728319.9580673799</v>
      </c>
    </row>
    <row r="60" spans="1:6">
      <c r="A60" s="1260" t="s">
        <v>49</v>
      </c>
      <c r="B60" s="1260" t="s">
        <v>53</v>
      </c>
      <c r="C60" s="335">
        <v>27</v>
      </c>
      <c r="D60" s="335">
        <v>1126036.91126915</v>
      </c>
      <c r="E60" s="335">
        <v>38</v>
      </c>
      <c r="F60" s="335">
        <v>707796.797180088</v>
      </c>
    </row>
    <row r="61" spans="1:6">
      <c r="A61" s="1260" t="s">
        <v>49</v>
      </c>
      <c r="B61" s="1260" t="s">
        <v>54</v>
      </c>
      <c r="C61" s="335">
        <v>73</v>
      </c>
      <c r="D61" s="335">
        <v>3384386.5513587901</v>
      </c>
      <c r="E61" s="335">
        <v>140</v>
      </c>
      <c r="F61" s="335">
        <v>1108514.93345748</v>
      </c>
    </row>
    <row r="62" spans="1:6">
      <c r="A62" s="1260" t="s">
        <v>49</v>
      </c>
      <c r="B62" s="1260" t="s">
        <v>55</v>
      </c>
      <c r="C62" s="335">
        <v>3</v>
      </c>
      <c r="D62" s="335">
        <v>331318.18157918099</v>
      </c>
      <c r="E62" s="335">
        <v>7</v>
      </c>
      <c r="F62" s="335">
        <v>53159.317493063303</v>
      </c>
    </row>
    <row r="63" spans="1:6">
      <c r="A63" s="1260" t="s">
        <v>49</v>
      </c>
      <c r="B63" s="1260" t="s">
        <v>29</v>
      </c>
      <c r="C63" s="335">
        <v>63</v>
      </c>
      <c r="D63" s="335">
        <v>4053284.5851003299</v>
      </c>
      <c r="E63" s="335">
        <v>75</v>
      </c>
      <c r="F63" s="335">
        <v>1915021.1846577299</v>
      </c>
    </row>
    <row r="64" spans="1:6">
      <c r="A64" s="1260" t="s">
        <v>56</v>
      </c>
      <c r="B64" s="1260" t="s">
        <v>57</v>
      </c>
      <c r="C64" s="335">
        <v>0</v>
      </c>
      <c r="D64" s="335">
        <v>0</v>
      </c>
      <c r="E64" s="335">
        <v>0</v>
      </c>
      <c r="F64" s="335">
        <v>0</v>
      </c>
    </row>
    <row r="65" spans="1:6">
      <c r="A65" s="1260" t="s">
        <v>56</v>
      </c>
      <c r="B65" s="1260" t="s">
        <v>29</v>
      </c>
      <c r="C65" s="335">
        <v>2</v>
      </c>
      <c r="D65" s="335">
        <v>60682.265019607199</v>
      </c>
      <c r="E65" s="335">
        <v>3</v>
      </c>
      <c r="F65" s="335">
        <v>13625.223282272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62362.575168740797</v>
      </c>
      <c r="E68" s="335">
        <v>5</v>
      </c>
      <c r="F68" s="335">
        <v>24966.223182957699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937269</v>
      </c>
      <c r="E73" s="335">
        <v>949097.82483962656</v>
      </c>
    </row>
    <row r="74" spans="1:6">
      <c r="A74" s="1260" t="s">
        <v>64</v>
      </c>
      <c r="B74" s="1260" t="s">
        <v>772</v>
      </c>
      <c r="C74" s="1271" t="s">
        <v>766</v>
      </c>
      <c r="D74" s="335">
        <v>22392.5</v>
      </c>
      <c r="E74" s="335">
        <v>22201.077978768932</v>
      </c>
    </row>
    <row r="75" spans="1:6">
      <c r="A75" s="1260" t="s">
        <v>65</v>
      </c>
      <c r="B75" s="1260" t="s">
        <v>771</v>
      </c>
      <c r="C75" s="1271" t="s">
        <v>767</v>
      </c>
      <c r="D75" s="335">
        <v>30268299</v>
      </c>
      <c r="E75" s="335">
        <v>30812415.060784243</v>
      </c>
    </row>
    <row r="76" spans="1:6">
      <c r="A76" s="1260" t="s">
        <v>65</v>
      </c>
      <c r="B76" s="1260" t="s">
        <v>772</v>
      </c>
      <c r="C76" s="1271" t="s">
        <v>768</v>
      </c>
      <c r="D76" s="335">
        <v>2330766.9681217</v>
      </c>
      <c r="E76" s="335">
        <v>2430236.4455394214</v>
      </c>
    </row>
    <row r="77" spans="1:6">
      <c r="A77" s="1260" t="s">
        <v>66</v>
      </c>
      <c r="B77" s="1260" t="s">
        <v>771</v>
      </c>
      <c r="C77" s="1271" t="s">
        <v>769</v>
      </c>
      <c r="D77" s="335">
        <v>6585936</v>
      </c>
      <c r="E77" s="335">
        <v>6914365.086828405</v>
      </c>
    </row>
    <row r="78" spans="1:6">
      <c r="A78" s="1256" t="s">
        <v>66</v>
      </c>
      <c r="B78" s="1256" t="s">
        <v>772</v>
      </c>
      <c r="C78" s="1256" t="s">
        <v>770</v>
      </c>
      <c r="D78" s="1256">
        <v>838949</v>
      </c>
      <c r="E78" s="1256">
        <v>956715.10256450635</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309734.06375659996</v>
      </c>
      <c r="C83" s="335">
        <v>300205.45840950496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1986.5611266008218</v>
      </c>
    </row>
    <row r="91" spans="1:6">
      <c r="A91" s="1260" t="s">
        <v>68</v>
      </c>
      <c r="B91" s="335">
        <v>1416.7633729044146</v>
      </c>
    </row>
    <row r="92" spans="1:6">
      <c r="A92" s="1256" t="s">
        <v>69</v>
      </c>
      <c r="B92" s="338">
        <v>253.16419045800885</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1371</v>
      </c>
    </row>
    <row r="98" spans="1:6">
      <c r="A98" s="1260" t="s">
        <v>72</v>
      </c>
      <c r="B98" s="335">
        <v>1</v>
      </c>
    </row>
    <row r="99" spans="1:6">
      <c r="A99" s="1260" t="s">
        <v>73</v>
      </c>
      <c r="B99" s="335">
        <v>13</v>
      </c>
    </row>
    <row r="100" spans="1:6">
      <c r="A100" s="1260" t="s">
        <v>74</v>
      </c>
      <c r="B100" s="335">
        <v>240</v>
      </c>
    </row>
    <row r="101" spans="1:6">
      <c r="A101" s="1260" t="s">
        <v>75</v>
      </c>
      <c r="B101" s="335">
        <v>17</v>
      </c>
    </row>
    <row r="102" spans="1:6">
      <c r="A102" s="1260" t="s">
        <v>76</v>
      </c>
      <c r="B102" s="335">
        <v>35</v>
      </c>
    </row>
    <row r="103" spans="1:6">
      <c r="A103" s="1260" t="s">
        <v>77</v>
      </c>
      <c r="B103" s="335">
        <v>55</v>
      </c>
    </row>
    <row r="104" spans="1:6">
      <c r="A104" s="1260" t="s">
        <v>78</v>
      </c>
      <c r="B104" s="335">
        <v>1614</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5</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21</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30144.085534214159</v>
      </c>
      <c r="C3" s="44" t="s">
        <v>170</v>
      </c>
      <c r="D3" s="44"/>
      <c r="E3" s="157"/>
      <c r="F3" s="44"/>
      <c r="G3" s="44"/>
      <c r="H3" s="44"/>
      <c r="I3" s="44"/>
      <c r="J3" s="44"/>
      <c r="K3" s="97"/>
    </row>
    <row r="4" spans="1:11">
      <c r="A4" s="365" t="s">
        <v>171</v>
      </c>
      <c r="B4" s="50">
        <f>IF(ISERROR('SEAP template'!B69),0,'SEAP template'!B69)</f>
        <v>3656.4886899632452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0.19419261851335032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800.24199999999996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0.19419261851335032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155.40108942436046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B46*B57</f>
        <v>743.55811824885996</v>
      </c>
      <c r="F5" s="18">
        <f>B51*B62</f>
        <v>14769.381425506464</v>
      </c>
      <c r="G5" s="19"/>
      <c r="H5" s="18"/>
      <c r="I5" s="18"/>
      <c r="J5" s="18">
        <f>B50*B61+C50*C61</f>
        <v>0</v>
      </c>
      <c r="K5" s="18"/>
      <c r="L5" s="18"/>
      <c r="M5" s="18"/>
      <c r="N5" s="18">
        <f>B48*B59+C48*C59</f>
        <v>3157.732400076216</v>
      </c>
      <c r="O5" s="18">
        <f>B69*B70*B71</f>
        <v>46.9</v>
      </c>
      <c r="P5" s="18">
        <f>B77*B78*B79/1000-B77*B78*B79/1000/B80</f>
        <v>152.53333333333333</v>
      </c>
    </row>
    <row r="6" spans="1:16">
      <c r="A6" s="17" t="s">
        <v>639</v>
      </c>
      <c r="B6" s="831">
        <f>kWh_PV_kleiner_dan_10kW</f>
        <v>1416.7633729044146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17583.192660639615</v>
      </c>
      <c r="C8" s="22">
        <f>C5</f>
        <v>0</v>
      </c>
      <c r="D8" s="22">
        <f>D5</f>
        <v>39243.57081012649</v>
      </c>
      <c r="E8" s="22">
        <f>E5</f>
        <v>743.55811824885996</v>
      </c>
      <c r="F8" s="22">
        <f>F5</f>
        <v>14769.381425506464</v>
      </c>
      <c r="G8" s="22"/>
      <c r="H8" s="22"/>
      <c r="I8" s="22"/>
      <c r="J8" s="22">
        <f>J5</f>
        <v>0</v>
      </c>
      <c r="K8" s="22"/>
      <c r="L8" s="22">
        <f>L5</f>
        <v>0</v>
      </c>
      <c r="M8" s="22">
        <f>M5</f>
        <v>0</v>
      </c>
      <c r="N8" s="22">
        <f>N5</f>
        <v>3157.732400076216</v>
      </c>
      <c r="O8" s="22">
        <f>O5</f>
        <v>46.9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0.19419261851335032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3414.52622459433</v>
      </c>
      <c r="C12" s="24">
        <f ca="1">C10*C8</f>
        <v>0</v>
      </c>
      <c r="D12" s="24">
        <f>D8*D10</f>
        <v>7927.2013036455519</v>
      </c>
      <c r="E12" s="24">
        <f>E10*E8</f>
        <v>168.78769284249123</v>
      </c>
      <c r="F12" s="24">
        <f>F10*F8</f>
        <v>3943.4248406102261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1</v>
      </c>
      <c r="C19" s="169" t="s">
        <v>111</v>
      </c>
      <c r="D19" s="232"/>
      <c r="E19" s="16"/>
    </row>
    <row r="20" spans="1:7">
      <c r="A20" s="174" t="s">
        <v>73</v>
      </c>
      <c r="B20" s="38">
        <f>aantalw2001_propaan</f>
        <v>13</v>
      </c>
      <c r="C20" s="170">
        <f>IF(ISERROR(B20/SUM($B$20,$B$21,$B$22)*100),0,B20/SUM($B$20,$B$21,$B$22)*100)</f>
        <v>4.8148148148148149</v>
      </c>
      <c r="D20" s="232"/>
      <c r="E20" s="16"/>
    </row>
    <row r="21" spans="1:7">
      <c r="A21" s="174" t="s">
        <v>74</v>
      </c>
      <c r="B21" s="38">
        <f>aantalw2001_elektriciteit</f>
        <v>240</v>
      </c>
      <c r="C21" s="170">
        <f>IF(ISERROR(B21/SUM($B$20,$B$21,$B$22)*100),0,B21/SUM($B$20,$B$21,$B$22)*100)</f>
        <v>88.888888888888886</v>
      </c>
      <c r="D21" s="232"/>
      <c r="E21" s="16"/>
    </row>
    <row r="22" spans="1:7">
      <c r="A22" s="174" t="s">
        <v>75</v>
      </c>
      <c r="B22" s="38">
        <f>aantalw2001_hout</f>
        <v>17</v>
      </c>
      <c r="C22" s="170">
        <f>IF(ISERROR(B22/SUM($B$20,$B$21,$B$22)*100),0,B22/SUM($B$20,$B$21,$B$22)*100)</f>
        <v>6.2962962962962958</v>
      </c>
      <c r="D22" s="232"/>
      <c r="E22" s="16"/>
    </row>
    <row r="23" spans="1:7">
      <c r="A23" s="174" t="s">
        <v>76</v>
      </c>
      <c r="B23" s="38">
        <f>aantalw2001_niet_gespec</f>
        <v>35</v>
      </c>
      <c r="C23" s="169" t="s">
        <v>111</v>
      </c>
      <c r="D23" s="231"/>
      <c r="E23" s="16"/>
    </row>
    <row r="24" spans="1:7">
      <c r="A24" s="174" t="s">
        <v>77</v>
      </c>
      <c r="B24" s="38">
        <f>aantalw2001_steenkool</f>
        <v>55</v>
      </c>
      <c r="C24" s="169" t="s">
        <v>111</v>
      </c>
      <c r="D24" s="232"/>
      <c r="E24" s="16"/>
    </row>
    <row r="25" spans="1:7">
      <c r="A25" s="174" t="s">
        <v>78</v>
      </c>
      <c r="B25" s="38">
        <f>aantalw2001_stookolie</f>
        <v>1614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3790</v>
      </c>
      <c r="C28" s="37"/>
      <c r="D28" s="231"/>
    </row>
    <row r="29" spans="1:7" s="16" customFormat="1">
      <c r="A29" s="233" t="s">
        <v>666</v>
      </c>
      <c r="B29" s="38">
        <f>SUM(HH_hh_gas_aantal,HH_rest_gas_aantal)</f>
        <v>2333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2333</v>
      </c>
      <c r="C32" s="170">
        <f>IF(ISERROR(B32/SUM($B$32,$B$34,$B$35,$B$36,$B$38,$B$39)*100),0,B32/SUM($B$32,$B$34,$B$35,$B$36,$B$38,$B$39)*100)</f>
        <v>61.686938127974621</v>
      </c>
      <c r="D32" s="236"/>
      <c r="G32" s="16"/>
    </row>
    <row r="33" spans="1:7">
      <c r="A33" s="174" t="s">
        <v>72</v>
      </c>
      <c r="B33" s="35" t="s">
        <v>111</v>
      </c>
      <c r="C33" s="170"/>
      <c r="D33" s="236"/>
      <c r="G33" s="16"/>
    </row>
    <row r="34" spans="1:7">
      <c r="A34" s="174" t="s">
        <v>73</v>
      </c>
      <c r="B34" s="34">
        <f>IF((($B$28-$B$32-$B$39-$B$77-$B$38)*C20/100)&lt;0,0,($B$28-$B$32-$B$39-$B$77-$B$38)*C20/100)</f>
        <v>33.742222222222225</v>
      </c>
      <c r="C34" s="170">
        <f>IF(ISERROR(B34/SUM($B$32,$B$34,$B$35,$B$36,$B$38,$B$39)*100),0,B34/SUM($B$32,$B$34,$B$35,$B$36,$B$38,$B$39)*100)</f>
        <v>0.89217932898525176</v>
      </c>
      <c r="D34" s="236"/>
      <c r="G34" s="16"/>
    </row>
    <row r="35" spans="1:7">
      <c r="A35" s="174" t="s">
        <v>74</v>
      </c>
      <c r="B35" s="34">
        <f>IF((($B$28-$B$32-$B$39-$B$77-$B$38)*C21/100)&lt;0,0,($B$28-$B$32-$B$39-$B$77-$B$38)*C21/100)</f>
        <v>622.93333333333339</v>
      </c>
      <c r="C35" s="170">
        <f>IF(ISERROR(B35/SUM($B$32,$B$34,$B$35,$B$36,$B$38,$B$39)*100),0,B35/SUM($B$32,$B$34,$B$35,$B$36,$B$38,$B$39)*100)</f>
        <v>16.471002996650803</v>
      </c>
      <c r="D35" s="236"/>
      <c r="G35" s="16"/>
    </row>
    <row r="36" spans="1:7">
      <c r="A36" s="174" t="s">
        <v>75</v>
      </c>
      <c r="B36" s="34">
        <f>IF((($B$28-$B$32-$B$39-$B$77-$B$38)*C22/100)&lt;0,0,($B$28-$B$32-$B$39-$B$77-$B$38)*C22/100)</f>
        <v>44.124444444444443</v>
      </c>
      <c r="C36" s="170">
        <f>IF(ISERROR(B36/SUM($B$32,$B$34,$B$35,$B$36,$B$38,$B$39)*100),0,B36/SUM($B$32,$B$34,$B$35,$B$36,$B$38,$B$39)*100)</f>
        <v>1.1666960455960984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748.19999999999993</v>
      </c>
      <c r="C39" s="170">
        <f>IF(ISERROR(B39/SUM($B$32,$B$34,$B$35,$B$36,$B$38,$B$39)*100),0,B39/SUM($B$32,$B$34,$B$35,$B$36,$B$38,$B$39)*100)</f>
        <v>19.783183500793232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2333</v>
      </c>
      <c r="C44" s="35" t="s">
        <v>111</v>
      </c>
      <c r="D44" s="177"/>
    </row>
    <row r="45" spans="1:7">
      <c r="A45" s="174" t="s">
        <v>72</v>
      </c>
      <c r="B45" s="34" t="str">
        <f t="shared" si="0"/>
        <v>-</v>
      </c>
      <c r="C45" s="35" t="s">
        <v>111</v>
      </c>
      <c r="D45" s="177"/>
    </row>
    <row r="46" spans="1:7">
      <c r="A46" s="174" t="s">
        <v>73</v>
      </c>
      <c r="B46" s="34">
        <f t="shared" si="0"/>
        <v>33.742222222222225</v>
      </c>
      <c r="C46" s="35" t="s">
        <v>111</v>
      </c>
      <c r="D46" s="177"/>
    </row>
    <row r="47" spans="1:7">
      <c r="A47" s="174" t="s">
        <v>74</v>
      </c>
      <c r="B47" s="34">
        <f t="shared" si="0"/>
        <v>622.93333333333339</v>
      </c>
      <c r="C47" s="35" t="s">
        <v>111</v>
      </c>
      <c r="D47" s="177"/>
    </row>
    <row r="48" spans="1:7">
      <c r="A48" s="174" t="s">
        <v>75</v>
      </c>
      <c r="B48" s="34">
        <f t="shared" si="0"/>
        <v>44.124444444444443</v>
      </c>
      <c r="C48" s="34">
        <f>B48*10</f>
        <v>441.24444444444441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748.19999999999993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54</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53</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52</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51</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50</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55</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260</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0.19419261851335032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1177.4498966249494</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1108.5149334574801</v>
      </c>
      <c r="C26" s="40">
        <f>IF(ISERROR(B26*3.6/1000000/'E Balans VL '!Z12*100),0,B26*3.6/1000000/'E Balans VL '!Z12*100)</f>
        <v>2.3555147385500269E-2</v>
      </c>
      <c r="D26" s="240" t="s">
        <v>707</v>
      </c>
      <c r="F26" s="6"/>
    </row>
    <row r="27" spans="1:18">
      <c r="A27" s="234" t="s">
        <v>53</v>
      </c>
      <c r="B27" s="34">
        <f>IF(ISERROR(TER_horeca_ele_kWh/1000),0,TER_horeca_ele_kWh/1000)</f>
        <v>707.79679718008799</v>
      </c>
      <c r="C27" s="40">
        <f>IF(ISERROR(B27*3.6/1000000/'E Balans VL '!Z9*100),0,B27*3.6/1000000/'E Balans VL '!Z9*100)</f>
        <v>5.5709081306969395E-2</v>
      </c>
      <c r="D27" s="240" t="s">
        <v>707</v>
      </c>
      <c r="F27" s="6"/>
    </row>
    <row r="28" spans="1:18">
      <c r="A28" s="174" t="s">
        <v>52</v>
      </c>
      <c r="B28" s="34">
        <f>IF(ISERROR(TER_handel_ele_kWh/1000),0,TER_handel_ele_kWh/1000)</f>
        <v>1728.31995806738</v>
      </c>
      <c r="C28" s="40">
        <f>IF(ISERROR(B28*3.6/1000000/'E Balans VL '!Z13*100),0,B28*3.6/1000000/'E Balans VL '!Z13*100)</f>
        <v>4.8411166985791711E-2</v>
      </c>
      <c r="D28" s="240" t="s">
        <v>707</v>
      </c>
      <c r="F28" s="6"/>
    </row>
    <row r="29" spans="1:18">
      <c r="A29" s="234" t="s">
        <v>51</v>
      </c>
      <c r="B29" s="34">
        <f>IF(ISERROR(TER_gezond_ele_kWh/1000),0,TER_gezond_ele_kWh/1000)</f>
        <v>116.812981038958</v>
      </c>
      <c r="C29" s="40">
        <f>IF(ISERROR(B29*3.6/1000000/'E Balans VL '!Z10*100),0,B29*3.6/1000000/'E Balans VL '!Z10*100)</f>
        <v>1.4943912557168827E-2</v>
      </c>
      <c r="D29" s="240" t="s">
        <v>707</v>
      </c>
      <c r="F29" s="6"/>
    </row>
    <row r="30" spans="1:18">
      <c r="A30" s="234" t="s">
        <v>50</v>
      </c>
      <c r="B30" s="34">
        <f>IF(ISERROR(TER_ander_ele_kWh/1000),0,TER_ander_ele_kWh/1000)</f>
        <v>433.68406013979404</v>
      </c>
      <c r="C30" s="40">
        <f>IF(ISERROR(B30*3.6/1000000/'E Balans VL '!Z14*100),0,B30*3.6/1000000/'E Balans VL '!Z14*100)</f>
        <v>3.2435913412729507E-2</v>
      </c>
      <c r="D30" s="240" t="s">
        <v>707</v>
      </c>
      <c r="F30" s="6"/>
    </row>
    <row r="31" spans="1:18">
      <c r="A31" s="234" t="s">
        <v>55</v>
      </c>
      <c r="B31" s="34">
        <f>IF(ISERROR(TER_onderwijs_ele_kWh/1000),0,TER_onderwijs_ele_kWh/1000)</f>
        <v>53.159317493063305</v>
      </c>
      <c r="C31" s="40">
        <f>IF(ISERROR(B31*3.6/1000000/'E Balans VL '!Z11*100),0,B31*3.6/1000000/'E Balans VL '!Z11*100)</f>
        <v>1.1224658747577247E-2</v>
      </c>
      <c r="D31" s="240" t="s">
        <v>707</v>
      </c>
    </row>
    <row r="32" spans="1:18">
      <c r="A32" s="234" t="s">
        <v>260</v>
      </c>
      <c r="B32" s="34">
        <f>IF(ISERROR(TER_rest_ele_kWh/1000),0,TER_rest_ele_kWh/1000)</f>
        <v>1915.0211846577299</v>
      </c>
      <c r="C32" s="40">
        <f>IF(ISERROR(B32*3.6/1000000/'E Balans VL '!Z8*100),0,B32*3.6/1000000/'E Balans VL '!Z8*100)</f>
        <v>1.5775814423088168E-2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33</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0.19419261851335032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1013.0141930551526</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7.4643907082274001</v>
      </c>
      <c r="C30" s="40">
        <f>IF(ISERROR(B30*3.6/1000000/'E Balans VL '!Z18*100),0,B30*3.6/1000000/'E Balans VL '!Z18*100)</f>
        <v>4.1534342896043758E-4</v>
      </c>
      <c r="D30" s="240" t="s">
        <v>707</v>
      </c>
    </row>
    <row r="31" spans="1:18">
      <c r="A31" s="6" t="s">
        <v>33</v>
      </c>
      <c r="B31" s="38">
        <f>IF( ISERROR(IND_ander_ele_kWh/1000),0,IND_ander_ele_kWh/1000)</f>
        <v>316.387435872727</v>
      </c>
      <c r="C31" s="40">
        <f>IF(ISERROR(B31*3.6/1000000/'E Balans VL '!Z19*100),0,B31*3.6/1000000/'E Balans VL '!Z19*100)</f>
        <v>1.4708020964540823E-2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1086.3899713810501</v>
      </c>
      <c r="C34" s="40">
        <f>IF(ISERROR(B34*3.6/1000000/'E Balans VL '!Z22*100),0,B34*3.6/1000000/'E Balans VL '!Z22*100)</f>
        <v>0.2183337490853795</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3806.3014507480902</v>
      </c>
      <c r="C37" s="40">
        <f>IF(ISERROR(B37*3.6/1000000/'E Balans VL '!Z15*100),0,B37*3.6/1000000/'E Balans VL '!Z15*100)</f>
        <v>2.8743198710635933E-2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480.00325850237937</v>
      </c>
      <c r="C5" s="18">
        <f>'Eigen informatie GS &amp; warmtenet'!B60</f>
        <v>0</v>
      </c>
      <c r="D5" s="31">
        <f>IF(ISERROR(SUM(LB_lb_gas_kWh,LB_rest_gas_kWh,onbekend_gas_kWh)/1000),0,SUM(LB_lb_gas_kWh,LB_rest_gas_kWh,onbekend_gas_kWh)/1000)*0.902</f>
        <v>972.73905986008083</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480.00325850237937</v>
      </c>
      <c r="C8" s="22">
        <f>C5+C6</f>
        <v>0</v>
      </c>
      <c r="D8" s="22">
        <f>MAX((D5+D6),0)</f>
        <v>972.73905986008083</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0.19419261851335032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93.213089663517636</v>
      </c>
      <c r="C12" s="24">
        <f ca="1">C8*C10</f>
        <v>0</v>
      </c>
      <c r="D12" s="24">
        <f>D8*D10</f>
        <v>196.49329009173633</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6.4984770994344562E-2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59.046936863653066</v>
      </c>
      <c r="C26" s="250">
        <f>B26*'GWP N2O_CH4'!B5</f>
        <v>1239.9856741367144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7.074342468295491</v>
      </c>
      <c r="C27" s="250">
        <f>B27*'GWP N2O_CH4'!B5</f>
        <v>148.56119183420532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50">
        <f>B28*'GWP N2O_CH4'!B4</f>
        <v>259.79169491388313</v>
      </c>
      <c r="D28" s="51"/>
    </row>
    <row r="29" spans="1:4">
      <c r="A29" s="42" t="s">
        <v>277</v>
      </c>
      <c r="B29" s="250">
        <f>B34*'ha_N2O bodem landbouw'!B4</f>
        <v>4.0868853569180859</v>
      </c>
      <c r="C29" s="250">
        <f>B29*'GWP N2O_CH4'!B4</f>
        <v>1266.9344606446066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1.1033303901263098E-3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2.8624835792689931E-6</v>
      </c>
      <c r="C5" s="447" t="s">
        <v>211</v>
      </c>
      <c r="D5" s="432">
        <f>SUM(D6:D11)</f>
        <v>1.1479088774561691E-5</v>
      </c>
      <c r="E5" s="432">
        <f>SUM(E6:E11)</f>
        <v>6.5001663577289202E-4</v>
      </c>
      <c r="F5" s="445" t="s">
        <v>211</v>
      </c>
      <c r="G5" s="432">
        <f>SUM(G6:G11)</f>
        <v>0.12621949413480221</v>
      </c>
      <c r="H5" s="432">
        <f>SUM(H6:H11)</f>
        <v>2.4995229855449743E-2</v>
      </c>
      <c r="I5" s="447" t="s">
        <v>211</v>
      </c>
      <c r="J5" s="447" t="s">
        <v>211</v>
      </c>
      <c r="K5" s="447" t="s">
        <v>211</v>
      </c>
      <c r="L5" s="447" t="s">
        <v>211</v>
      </c>
      <c r="M5" s="432">
        <f>SUM(M6:M11)</f>
        <v>6.763944223279101E-3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7.0992599867363585E-8</v>
      </c>
      <c r="C6" s="433"/>
      <c r="D6" s="433">
        <f>vkm_2011_GW_PW*SUMIFS(TableVerdeelsleutelVkm[CNG],TableVerdeelsleutelVkm[Voertuigtype],"Lichte voertuigen")*SUMIFS(TableECFTransport[EnergieConsumptieFactor (PJ per km)],TableECFTransport[Index],CONCATENATE($A6,"_CNG_CNG"))</f>
        <v>1.7336511779672887E-7</v>
      </c>
      <c r="E6" s="435">
        <f>vkm_2011_GW_PW*SUMIFS(TableVerdeelsleutelVkm[LPG],TableVerdeelsleutelVkm[Voertuigtype],"Lichte voertuigen")*SUMIFS(TableECFTransport[EnergieConsumptieFactor (PJ per km)],TableECFTransport[Index],CONCATENATE($A6,"_LPG_LPG"))</f>
        <v>1.0276188256155229E-5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1.4855438961251435E-3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3.8931837628884626E-4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8.3959785329345432E-5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2.0819517462448438E-4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8.3998636113375519E-8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9.2750306143847829E-6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2.2926451633124759E-6</v>
      </c>
      <c r="C8" s="433"/>
      <c r="D8" s="435">
        <f>vkm_2011_NGW_PW*SUMIFS(TableVerdeelsleutelVkm[CNG],TableVerdeelsleutelVkm[Voertuigtype],"Lichte voertuigen")*SUMIFS(TableECFTransport[EnergieConsumptieFactor (PJ per km)],TableECFTransport[Index],CONCATENATE($A8,"_CNG_CNG"))</f>
        <v>1.0044979345364296E-5</v>
      </c>
      <c r="E8" s="435">
        <f>vkm_2011_NGW_PW*SUMIFS(TableVerdeelsleutelVkm[LPG],TableVerdeelsleutelVkm[Voertuigtype],"Lichte voertuigen")*SUMIFS(TableECFTransport[EnergieConsumptieFactor (PJ per km)],TableECFTransport[Index],CONCATENATE($A8,"_LPG_LPG"))</f>
        <v>5.4623306282665862E-4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7.4596494916434261E-2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2.1601060942807178E-2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4.3098654126274717E-3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3.0043574879809194E-2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1.0554059335927494E-5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1.3383602778036584E-3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4.9884581608915367E-7</v>
      </c>
      <c r="C10" s="433"/>
      <c r="D10" s="435">
        <f>vkm_2011_SW_PW*SUMIFS(TableVerdeelsleutelVkm[CNG],TableVerdeelsleutelVkm[Voertuigtype],"Lichte voertuigen")*SUMIFS(TableECFTransport[EnergieConsumptieFactor (PJ per km)],TableECFTransport[Index],CONCATENATE($A10,"_CNG_CNG"))</f>
        <v>1.260744311400665E-6</v>
      </c>
      <c r="E10" s="435">
        <f>vkm_2011_SW_PW*SUMIFS(TableVerdeelsleutelVkm[LPG],TableVerdeelsleutelVkm[Voertuigtype],"Lichte voertuigen")*SUMIFS(TableECFTransport[EnergieConsumptieFactor (PJ per km)],TableECFTransport[Index],CONCATENATE($A10,"_LPG_LPG"))</f>
        <v>9.3507384690078184E-5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1.2319074942992376E-2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2.9909735802793611E-3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6.8538505773113926E-4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7.5666103248167305E-3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3.2388981023170263E-6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3.3709865917310047E-4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0.79513432757472036</v>
      </c>
      <c r="C14" s="22"/>
      <c r="D14" s="22">
        <f t="shared" ref="D14:M14" si="0">((D5)*10^9/3600)+D12</f>
        <v>3.1886357707115809</v>
      </c>
      <c r="E14" s="22">
        <f t="shared" si="0"/>
        <v>180.56017660358111</v>
      </c>
      <c r="F14" s="22"/>
      <c r="G14" s="22">
        <f t="shared" si="0"/>
        <v>35060.970593000617</v>
      </c>
      <c r="H14" s="22">
        <f t="shared" si="0"/>
        <v>6943.1194042915959</v>
      </c>
      <c r="I14" s="22"/>
      <c r="J14" s="22"/>
      <c r="K14" s="22"/>
      <c r="L14" s="22"/>
      <c r="M14" s="22">
        <f t="shared" si="0"/>
        <v>1878.8733953553058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0.19419261851335032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0.15440921714158701</v>
      </c>
      <c r="C18" s="24"/>
      <c r="D18" s="24">
        <f t="shared" ref="D18:M18" si="1">D14*D16</f>
        <v>0.64410442568373938</v>
      </c>
      <c r="E18" s="24">
        <f t="shared" si="1"/>
        <v>40.987160089012917</v>
      </c>
      <c r="F18" s="24"/>
      <c r="G18" s="24">
        <f t="shared" si="1"/>
        <v>9361.2791483311648</v>
      </c>
      <c r="H18" s="24">
        <f t="shared" si="1"/>
        <v>1728.8367316686074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4.0597675033199236E-3</v>
      </c>
      <c r="H50" s="323">
        <f t="shared" si="2"/>
        <v>0</v>
      </c>
      <c r="I50" s="323">
        <f t="shared" si="2"/>
        <v>0</v>
      </c>
      <c r="J50" s="323">
        <f t="shared" si="2"/>
        <v>0</v>
      </c>
      <c r="K50" s="323">
        <f t="shared" si="2"/>
        <v>0</v>
      </c>
      <c r="L50" s="323">
        <f t="shared" si="2"/>
        <v>0</v>
      </c>
      <c r="M50" s="323">
        <f t="shared" si="2"/>
        <v>1.7827108807617954E-4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4.0597675033199236E-3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1.7827108807617954E-4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1127.7131953666456</v>
      </c>
      <c r="H54" s="22">
        <f t="shared" si="3"/>
        <v>0</v>
      </c>
      <c r="I54" s="22">
        <f t="shared" si="3"/>
        <v>0</v>
      </c>
      <c r="J54" s="22">
        <f t="shared" si="3"/>
        <v>0</v>
      </c>
      <c r="K54" s="22">
        <f t="shared" si="3"/>
        <v>0</v>
      </c>
      <c r="L54" s="22">
        <f t="shared" si="3"/>
        <v>0</v>
      </c>
      <c r="M54" s="22">
        <f t="shared" si="3"/>
        <v>49.519746687827656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0.19419261851335032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301.09942316289437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1986.5611266008218</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1669.9275633624234</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3656.4886899632452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2018-12-05T16:05:26Z</dcterms:modified>
</cp:coreProperties>
</file>