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I8" s="1"/>
  <c r="J68" i="14" s="1"/>
  <c r="T88" i="18"/>
  <c r="S88"/>
  <c r="E8" s="1"/>
  <c r="F68" i="14" s="1"/>
  <c r="R88" i="18"/>
  <c r="Q88"/>
  <c r="P88"/>
  <c r="O88"/>
  <c r="N88"/>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E17"/>
  <c r="D17"/>
  <c r="C17"/>
  <c r="B17"/>
  <c r="B79" i="14" s="1"/>
  <c r="B16" i="18"/>
  <c r="B78" i="14" s="1"/>
  <c r="K11" i="18"/>
  <c r="J11"/>
  <c r="I11"/>
  <c r="H11"/>
  <c r="G11"/>
  <c r="F11"/>
  <c r="E11"/>
  <c r="D11"/>
  <c r="C11"/>
  <c r="L8"/>
  <c r="L9" s="1"/>
  <c r="K8"/>
  <c r="K9" s="1"/>
  <c r="J8"/>
  <c r="H8"/>
  <c r="G8"/>
  <c r="G9" s="1"/>
  <c r="F8"/>
  <c r="F9" s="1"/>
  <c r="D8"/>
  <c r="D9" s="1"/>
  <c r="C8"/>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G79" i="14"/>
  <c r="E79"/>
  <c r="M78"/>
  <c r="L78"/>
  <c r="H78"/>
  <c r="G78"/>
  <c r="E78"/>
  <c r="L68"/>
  <c r="D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16" i="16" l="1"/>
  <c r="D8" i="17"/>
  <c r="D7" i="48" s="1"/>
  <c r="D24" s="1"/>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I101" i="18"/>
  <c r="H16" s="1"/>
  <c r="I78" i="14" s="1"/>
  <c r="I81"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12" i="13"/>
  <c r="M37" i="14" s="1"/>
  <c r="J7" i="15"/>
  <c r="B13" i="16"/>
  <c r="C35"/>
  <c r="C80" i="14"/>
  <c r="C16" i="15"/>
  <c r="D10" i="14" s="1"/>
  <c r="L6" i="17"/>
  <c r="N13" i="15"/>
  <c r="L13"/>
  <c r="L16" s="1"/>
  <c r="K5" i="48"/>
  <c r="K22" s="1"/>
  <c r="K20" i="15"/>
  <c r="L36" i="14" s="1"/>
  <c r="L41"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I41" i="14"/>
  <c r="J15"/>
  <c r="H15"/>
  <c r="H69"/>
  <c r="O20"/>
  <c r="L69"/>
  <c r="D5" i="15"/>
  <c r="B8"/>
  <c r="J8"/>
  <c r="F12"/>
  <c r="I20"/>
  <c r="J36" i="14" s="1"/>
  <c r="J41"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E101" l="1"/>
  <c r="E16" s="1"/>
  <c r="F78" i="14" s="1"/>
  <c r="C68"/>
  <c r="G101" i="18"/>
  <c r="F81" i="14"/>
  <c r="C101" i="18"/>
  <c r="Q13" i="14"/>
  <c r="L28" i="48"/>
  <c r="D13" i="14"/>
  <c r="D15" s="1"/>
  <c r="K22"/>
  <c r="P22" i="16"/>
  <c r="Q39" i="14" s="1"/>
  <c r="H19" i="18"/>
  <c r="J7" i="48"/>
  <c r="J24" s="1"/>
  <c r="B101" i="18"/>
  <c r="C16" s="1"/>
  <c r="D101"/>
  <c r="L5" i="17"/>
  <c r="L8" s="1"/>
  <c r="E19" i="18"/>
  <c r="F101"/>
  <c r="I16" s="1"/>
  <c r="D18" i="16"/>
  <c r="D22" s="1"/>
  <c r="E39" i="14" s="1"/>
  <c r="L21" i="48"/>
  <c r="B14" i="22"/>
  <c r="B9" i="48" s="1"/>
  <c r="I17" i="14"/>
  <c r="H12" i="22"/>
  <c r="D16" i="15"/>
  <c r="D20" s="1"/>
  <c r="B35" i="13"/>
  <c r="N8" i="17"/>
  <c r="I100" i="18"/>
  <c r="H7" s="1"/>
  <c r="E100"/>
  <c r="E7" s="1"/>
  <c r="H100"/>
  <c r="D100"/>
  <c r="G100"/>
  <c r="C100"/>
  <c r="J7" s="1"/>
  <c r="F100"/>
  <c r="B100"/>
  <c r="C7" s="1"/>
  <c r="G31" i="20"/>
  <c r="H43" i="14" s="1"/>
  <c r="G12" i="22"/>
  <c r="O79" i="14"/>
  <c r="C7" i="48"/>
  <c r="D22" i="14"/>
  <c r="M28" i="48"/>
  <c r="M22"/>
  <c r="D14" i="22"/>
  <c r="E19" i="14" s="1"/>
  <c r="E20" s="1"/>
  <c r="N17"/>
  <c r="M12" i="22"/>
  <c r="B36" i="13"/>
  <c r="B48" s="1"/>
  <c r="C48" s="1"/>
  <c r="N5" s="1"/>
  <c r="N8" s="1"/>
  <c r="N4" i="48" s="1"/>
  <c r="N21" s="1"/>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Q15" s="1"/>
  <c r="Q23" s="1"/>
  <c r="J5" i="15"/>
  <c r="F4" i="48"/>
  <c r="F21" s="1"/>
  <c r="B69" i="14"/>
  <c r="B4" i="6" s="1"/>
  <c r="J23" i="14"/>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O28" i="48"/>
  <c r="H22"/>
  <c r="B46" i="13"/>
  <c r="E5" s="1"/>
  <c r="E8" s="1"/>
  <c r="E12" s="1"/>
  <c r="F37" i="14" s="1"/>
  <c r="K31" i="48"/>
  <c r="M25"/>
  <c r="M24"/>
  <c r="I31"/>
  <c r="C50" i="13"/>
  <c r="J5" s="1"/>
  <c r="J8" s="1"/>
  <c r="E7" i="48"/>
  <c r="E24" s="1"/>
  <c r="E12" i="17"/>
  <c r="F48" i="14" s="1"/>
  <c r="C5" i="48"/>
  <c r="C14" s="1"/>
  <c r="D18" i="22" l="1"/>
  <c r="E45" i="14" s="1"/>
  <c r="E46" s="1"/>
  <c r="I7" i="18"/>
  <c r="I9" s="1"/>
  <c r="J16"/>
  <c r="L7" i="48"/>
  <c r="L24" s="1"/>
  <c r="L12" i="17"/>
  <c r="M48" i="14" s="1"/>
  <c r="M22"/>
  <c r="R17"/>
  <c r="F19"/>
  <c r="F20" s="1"/>
  <c r="D78"/>
  <c r="C19" i="18"/>
  <c r="J78" i="14"/>
  <c r="J81" s="1"/>
  <c r="I19" i="18"/>
  <c r="E18" i="22"/>
  <c r="F45" i="14" s="1"/>
  <c r="F46" s="1"/>
  <c r="G14" i="22"/>
  <c r="G18" s="1"/>
  <c r="H45" i="14" s="1"/>
  <c r="D9" i="48"/>
  <c r="D26" s="1"/>
  <c r="D8"/>
  <c r="D25" s="1"/>
  <c r="E10" i="14"/>
  <c r="E15" s="1"/>
  <c r="E23" s="1"/>
  <c r="D5" i="48"/>
  <c r="D22"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I67"/>
  <c r="I69" s="1"/>
  <c r="H9" i="18"/>
  <c r="Q13" i="48"/>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J67" i="14"/>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7"/>
  <c r="C12" s="1"/>
  <c r="D48" i="14" s="1"/>
  <c r="C18" i="15"/>
  <c r="C20" s="1"/>
  <c r="D36" i="14" s="1"/>
  <c r="C20" i="16"/>
  <c r="C22" s="1"/>
  <c r="D39" i="14" s="1"/>
  <c r="C17" i="49"/>
  <c r="C56" i="22"/>
  <c r="C58" s="1"/>
  <c r="D44" i="14" s="1"/>
  <c r="D46" s="1"/>
  <c r="F22" i="16"/>
  <c r="G39" i="14" s="1"/>
  <c r="G41" s="1"/>
  <c r="N22" i="16"/>
  <c r="O39" i="14" s="1"/>
  <c r="O41" s="1"/>
  <c r="F8" i="48"/>
  <c r="Q4"/>
  <c r="N22"/>
  <c r="R11" i="14"/>
  <c r="J21" i="48"/>
  <c r="R10" i="14"/>
  <c r="C17" i="19" l="1"/>
  <c r="C19" s="1"/>
  <c r="D35" i="14" s="1"/>
  <c r="C29" i="20"/>
  <c r="Q5" i="48"/>
  <c r="C16" i="22"/>
  <c r="J14" i="48"/>
  <c r="O13" i="14"/>
  <c r="O15" s="1"/>
  <c r="K13"/>
  <c r="K15" s="1"/>
  <c r="K23" s="1"/>
  <c r="J31" i="48"/>
  <c r="E25"/>
  <c r="E31" s="1"/>
  <c r="E14"/>
  <c r="N25"/>
  <c r="N14"/>
  <c r="E22" i="16"/>
  <c r="F39" i="14" s="1"/>
  <c r="F41" s="1"/>
  <c r="F53" s="1"/>
  <c r="J22" i="16"/>
  <c r="K39" i="14" s="1"/>
  <c r="K41" s="1"/>
  <c r="K53" s="1"/>
  <c r="K55" s="1"/>
  <c r="Q8" i="48"/>
  <c r="N31"/>
  <c r="F13" i="14"/>
  <c r="F15" s="1"/>
  <c r="F23" s="1"/>
  <c r="F55" s="1"/>
  <c r="G14" i="48"/>
  <c r="H55" i="14"/>
  <c r="M14" i="48"/>
  <c r="R19" i="14"/>
  <c r="R20" s="1"/>
  <c r="M26" i="48"/>
  <c r="M31" s="1"/>
  <c r="O53" i="14"/>
  <c r="G53"/>
  <c r="G55" s="1"/>
  <c r="O69" s="1"/>
  <c r="B9" i="6" s="1"/>
  <c r="B12" s="1"/>
  <c r="M53" i="14"/>
  <c r="M55" s="1"/>
  <c r="C12" i="13"/>
  <c r="D37" i="14" s="1"/>
  <c r="C24" i="48"/>
  <c r="C28"/>
  <c r="C22"/>
  <c r="C25"/>
  <c r="C21"/>
  <c r="R13" i="14"/>
  <c r="R15" s="1"/>
  <c r="F25" i="48"/>
  <c r="F31" s="1"/>
  <c r="F14"/>
  <c r="Q14"/>
  <c r="D41" i="14" l="1"/>
  <c r="D53" s="1"/>
  <c r="D55"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<sst xmlns="http://schemas.openxmlformats.org/spreadsheetml/2006/main" count="2286" uniqueCount="947">
  <si>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</si>
  <si>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</si>
  <si>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</si>
  <si>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</si>
  <si>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</si>
  <si>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</si>
  <si>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</si>
  <si>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</si>
  <si>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</si>
  <si>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</si>
  <si>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</si>
  <si>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</si>
  <si>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</si>
  <si>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</si>
  <si>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</si>
  <si>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</si>
  <si>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</si>
  <si>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</si>
  <si>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</si>
  <si>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</si>
  <si>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</si>
  <si>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</si>
  <si>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</si>
  <si>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</si>
  <si>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</si>
  <si>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</si>
  <si>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</si>
  <si>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</si>
  <si>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</si>
  <si>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</si>
  <si>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</si>
  <si>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</si>
  <si>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</si>
  <si>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</si>
  <si>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</si>
  <si>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</si>
  <si>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</si>
  <si>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</si>
  <si>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</si>
  <si>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</si>
  <si>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</si>
  <si>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</si>
  <si>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</si>
  <si>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</si>
  <si>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</si>
  <si>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</si>
  <si>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</si>
  <si>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</si>
  <si>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</si>
  <si>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</si>
  <si>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</si>
  <si>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</si>
  <si>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</si>
  <si>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</si>
  <si>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</si>
  <si>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</si>
  <si>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</si>
  <si>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</si>
  <si>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</si>
  <si>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</si>
  <si>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</si>
  <si>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</si>
  <si>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</si>
  <si>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</si>
  <si>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</si>
  <si>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</si>
  <si>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</si>
  <si>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</si>
  <si>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</si>
  <si>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</si>
  <si>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</si>
  <si>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</si>
  <si>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</si>
  <si>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</si>
  <si>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</si>
  <si>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</si>
  <si>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</si>
  <si>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</si>
  <si>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</si>
  <si>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</si>
  <si>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</si>
  <si>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</si>
  <si>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</si>
  <si>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</si>
  <si>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</si>
  <si>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</si>
  <si>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</si>
  <si>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</si>
  <si>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</si>
  <si>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</si>
  <si>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</si>
  <si>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</si>
  <si>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</si>
  <si>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</si>
  <si>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</si>
  <si>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</si>
  <si>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</si>
  <si>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</si>
  <si>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</si>
  <si>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</si>
  <si>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</si>
  <si>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</si>
  <si>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</si>
  <si>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</si>
  <si>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</si>
  <si>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</si>
  <si>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</si>
  <si>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</si>
  <si>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</si>
  <si>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</si>
  <si>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</si>
  <si>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</si>
  <si>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</si>
  <si>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</si>
  <si>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</si>
  <si>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</si>
  <si>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</si>
  <si>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</si>
  <si>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</si>
  <si>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</si>
  <si>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</si>
  <si>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</si>
  <si>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</si>
  <si>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</si>
  <si>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</si>
  <si>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</si>
  <si>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</si>
  <si>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</si>
  <si>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</si>
  <si>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</si>
  <si>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</si>
  <si>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</si>
  <si>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</si>
  <si>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</si>
  <si>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</si>
  <si>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</si>
  <si>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</si>
  <si>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</si>
  <si>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</si>
  <si>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</si>
  <si>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</si>
  <si>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</si>
  <si>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</si>
  <si>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</si>
  <si>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</si>
  <si>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</si>
  <si>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</si>
  <si>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</si>
  <si>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</si>
  <si>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</si>
  <si>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</si>
  <si>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</si>
  <si>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</si>
  <si>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</si>
  <si>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</si>
  <si>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</si>
  <si>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</si>
  <si>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</si>
  <si>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</si>
  <si>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</si>
  <si>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</si>
  <si>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</si>
  <si>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</si>
  <si>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</si>
  <si>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</si>
  <si>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</si>
  <si>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</si>
  <si>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</si>
  <si>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</si>
  <si>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</si>
  <si>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</si>
  <si>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</si>
  <si>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</si>
  <si>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</si>
  <si>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</si>
  <si>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</si>
  <si>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</si>
  <si>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</si>
  <si>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</si>
  <si>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</si>
  <si>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</si>
  <si>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</si>
  <si>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</si>
  <si>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</si>
  <si>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</si>
  <si>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</si>
  <si>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</si>
  <si>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</si>
  <si>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</si>
  <si>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</si>
  <si>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</si>
  <si>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</si>
  <si>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</si>
  <si>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</si>
  <si>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</si>
  <si>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</si>
  <si>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</si>
  <si>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</si>
  <si>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</si>
  <si>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</si>
  <si>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</si>
  <si>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</si>
  <si>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</si>
  <si>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</si>
  <si>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</si>
  <si>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</si>
  <si>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</si>
  <si>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</si>
  <si>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</si>
  <si>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</si>
  <si>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</si>
  <si>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</si>
  <si>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</si>
  <si>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</si>
  <si>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</si>
  <si>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</si>
  <si>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</si>
  <si>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</si>
  <si>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</si>
  <si>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</si>
  <si>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</si>
  <si>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</si>
  <si>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</si>
  <si>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</si>
  <si>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</si>
  <si>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</si>
  <si>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</si>
  <si>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</si>
  <si>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</si>
  <si>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</si>
  <si>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</si>
  <si>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</si>
  <si>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</si>
  <si>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</si>
  <si>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</si>
  <si>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</si>
  <si>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</si>
  <si>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</si>
  <si>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</si>
  <si>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</si>
  <si>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</si>
  <si>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</si>
  <si>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</si>
  <si>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</si>
  <si>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</si>
  <si>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</si>
  <si>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</si>
  <si>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</si>
  <si>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</si>
  <si>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</si>
  <si>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</si>
  <si>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</si>
  <si>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</si>
  <si>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</si>
  <si>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</si>
  <si>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</si>
  <si>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</si>
  <si>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</si>
  <si>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</si>
  <si>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</si>
  <si>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</si>
  <si>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</si>
  <si>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</si>
  <si>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</si>
  <si>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</si>
  <si>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</si>
  <si>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</si>
  <si>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</si>
  <si>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</si>
  <si>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</si>
  <si>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</si>
  <si>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</si>
  <si>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</si>
  <si>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</si>
  <si>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</si>
  <si>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</si>
  <si>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</si>
  <si>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</si>
  <si>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</si>
  <si>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</si>
  <si>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</si>
  <si>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</si>
  <si>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</si>
  <si>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</si>
  <si>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</si>
  <si>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</si>
  <si>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</si>
  <si>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</si>
  <si>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</si>
  <si>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</si>
  <si>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</si>
  <si>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</si>
  <si>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</si>
  <si>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</si>
  <si>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</si>
  <si>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</si>
  <si>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</si>
  <si>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</si>
  <si>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</si>
  <si>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</si>
  <si>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</si>
  <si>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</si>
  <si>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</si>
  <si>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</si>
  <si>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</si>
  <si>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</si>
  <si>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</si>
  <si>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</si>
  <si>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</si>
  <si>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</si>
  <si>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</si>
  <si>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</si>
  <si>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</si>
  <si>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</si>
  <si>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</si>
  <si>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</si>
  <si>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</si>
  <si>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</si>
  <si>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</si>
  <si>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</si>
  <si>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</si>
  <si>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</si>
  <si>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</si>
  <si>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</si>
  <si>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</si>
  <si>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</si>
  <si>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</si>
  <si>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</si>
  <si>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</si>
  <si>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</si>
  <si>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</si>
  <si>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</si>
  <si>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</si>
  <si>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</si>
  <si>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</si>
  <si>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</si>
  <si>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</si>
  <si>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</si>
  <si>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</si>
  <si>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</si>
  <si>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</si>
  <si>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</si>
  <si>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</si>
  <si>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</si>
  <si>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</si>
  <si>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</si>
  <si>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</si>
  <si>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</si>
  <si>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</si>
  <si>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</si>
  <si>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</si>
  <si>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</si>
  <si>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</si>
  <si>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</si>
  <si>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</si>
  <si>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</si>
  <si>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</si>
  <si>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</si>
  <si>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</si>
  <si>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</si>
  <si>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</si>
  <si>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</si>
  <si>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</si>
  <si>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</si>
  <si>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</si>
  <si>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</si>
  <si>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</si>
  <si>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</si>
  <si>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</si>
  <si>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</si>
  <si>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</si>
  <si>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</si>
  <si>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</si>
  <si>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</si>
  <si>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</si>
  <si>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</si>
  <si>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</si>
  <si>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</si>
  <si>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</si>
  <si>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</si>
  <si>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</si>
  <si>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</si>
  <si>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</si>
  <si>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</si>
  <si>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</si>
  <si>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</si>
  <si>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</si>
  <si>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</si>
  <si>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</si>
  <si>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</si>
  <si>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</si>
  <si>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</si>
  <si>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</si>
  <si>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</si>
  <si>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</si>
  <si>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</si>
  <si>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</si>
  <si>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</si>
  <si>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</si>
  <si>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</si>
  <si>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</si>
  <si>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</si>
  <si>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</si>
  <si>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</si>
  <si>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</si>
  <si>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</si>
  <si>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</si>
  <si>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</si>
  <si>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</si>
  <si>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</si>
  <si>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</si>
  <si>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</si>
  <si>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</si>
  <si>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</si>
  <si>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</si>
  <si>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</si>
  <si>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</si>
  <si>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</si>
  <si>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</si>
  <si>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</si>
  <si>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</si>
  <si>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</si>
  <si>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</si>
  <si>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</si>
  <si>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</si>
  <si>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</si>
  <si>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</si>
  <si>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</si>
  <si>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</si>
  <si>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</si>
  <si>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</si>
  <si>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</si>
  <si>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</si>
  <si>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</si>
  <si>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</si>
  <si>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</si>
  <si>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</si>
  <si>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</si>
  <si>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</si>
  <si>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</si>
  <si>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</si>
  <si>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</si>
  <si>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</si>
  <si>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</si>
  <si>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</si>
  <si>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</si>
  <si>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</si>
  <si>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</si>
  <si>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</si>
  <si>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</si>
  <si>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</si>
  <si>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</si>
  <si>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</si>
  <si>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</si>
  <si>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</si>
  <si>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</si>
  <si>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</si>
  <si>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</si>
  <si>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</si>
  <si>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</si>
  <si>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</si>
  <si>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</si>
  <si>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</si>
  <si>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</si>
  <si>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</si>
  <si>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</si>
  <si>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</si>
  <si>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</si>
  <si>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</si>
  <si>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</si>
  <si>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</si>
  <si>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</si>
  <si>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</si>
  <si>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</si>
  <si>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</si>
  <si>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</si>
  <si>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</si>
  <si>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</si>
  <si>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</si>
  <si>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</si>
  <si>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</si>
  <si>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</si>
  <si>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</si>
  <si>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</si>
  <si>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</si>
  <si>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</si>
  <si>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</si>
  <si>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</si>
  <si>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</si>
  <si>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</si>
  <si>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</si>
  <si>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</si>
  <si>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</si>
  <si>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</si>
  <si>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</si>
  <si>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</si>
  <si>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</si>
  <si>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</si>
  <si>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</si>
  <si>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</si>
  <si>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</si>
  <si>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</si>
  <si>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</si>
  <si>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</si>
  <si>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</si>
  <si>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</si>
  <si>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</si>
  <si>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</si>
  <si>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</si>
  <si>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</si>
  <si>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</si>
  <si>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</si>
  <si>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</si>
  <si>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</si>
  <si>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</si>
  <si>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</si>
  <si>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</si>
  <si>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</si>
  <si>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</si>
  <si>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</si>
  <si>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</si>
  <si>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</si>
  <si>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</si>
  <si>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</si>
  <si>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</si>
  <si>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</si>
  <si>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</si>
  <si>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</si>
  <si>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</si>
  <si>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</si>
  <si>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</si>
  <si>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</si>
  <si>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</si>
  <si>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</si>
  <si>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</si>
  <si>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</si>
  <si>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</si>
  <si>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</si>
  <si>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</si>
  <si>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</si>
  <si>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</si>
  <si>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</si>
  <si>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</si>
  <si>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</si>
  <si>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</si>
  <si>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</si>
  <si>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</si>
  <si>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</si>
  <si>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</si>
  <si>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</si>
  <si>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</si>
  <si>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</si>
  <si>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</si>
  <si>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</si>
  <si>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</si>
  <si>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</si>
  <si>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</si>
  <si>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</si>
  <si>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</si>
  <si>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</si>
  <si>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</si>
  <si>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</si>
  <si>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</si>
  <si>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</si>
  <si>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</si>
  <si>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</si>
  <si>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</si>
  <si>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</si>
  <si>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</si>
  <si>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</si>
  <si>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</si>
  <si>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</si>
  <si>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</si>
  <si>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</si>
  <si>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</si>
  <si>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</si>
  <si>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</si>
  <si>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</si>
  <si>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</si>
  <si>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</si>
  <si>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</si>
  <si>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</si>
  <si>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</si>
  <si>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</si>
  <si>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</si>
  <si>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</si>
  <si>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</si>
  <si>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</si>
  <si>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</si>
  <si>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</si>
  <si>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</si>
  <si>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</si>
  <si>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</si>
  <si>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</si>
  <si>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</si>
  <si>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</si>
  <si>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</si>
  <si>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</si>
  <si>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</si>
  <si>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</si>
  <si>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</si>
  <si>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</si>
  <si>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</si>
  <si>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</si>
  <si>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</si>
  <si>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</si>
  <si>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</si>
  <si>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</si>
  <si>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</si>
  <si>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</si>
  <si>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</si>
  <si>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</si>
  <si>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</si>
  <si>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</si>
  <si>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</si>
  <si>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</si>
  <si>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</si>
  <si>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</si>
  <si>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</si>
  <si>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</si>
  <si>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</si>
  <si>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</si>
  <si>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</si>
  <si>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</si>
  <si>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</si>
  <si>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</si>
  <si>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</si>
  <si>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</si>
  <si>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</si>
  <si>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</si>
  <si>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</si>
  <si>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</si>
  <si>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</si>
  <si>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</si>
  <si>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</si>
  <si>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</si>
  <si>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</si>
  <si>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</si>
  <si>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</si>
  <si>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</si>
  <si>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</si>
  <si>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</si>
  <si>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</si>
  <si>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</si>
  <si>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</si>
  <si>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</si>
  <si>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</si>
  <si>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</si>
  <si>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</si>
  <si>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</si>
  <si>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</si>
  <si>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</si>
  <si>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</si>
  <si>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</si>
  <si>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</si>
  <si>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</si>
  <si>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</si>
  <si>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</si>
  <si>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</si>
  <si>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</si>
  <si>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</si>
  <si>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</si>
  <si>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</si>
  <si>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</si>
  <si>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</si>
  <si>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</si>
  <si>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</si>
  <si>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</si>
  <si>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</si>
  <si>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</si>
  <si>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</si>
  <si>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</si>
  <si>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</si>
  <si>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</si>
  <si>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</si>
  <si>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</si>
  <si>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</si>
  <si>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</si>
  <si>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</si>
  <si>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</si>
  <si>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</si>
  <si>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</si>
  <si>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</si>
  <si>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</si>
  <si>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</si>
  <si>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</si>
  <si>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</si>
  <si>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</si>
  <si>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</si>
  <si>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</si>
  <si>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</si>
  <si>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</si>
  <si>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</si>
  <si>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</si>
  <si>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</si>
  <si>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</si>
  <si>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</si>
  <si>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</si>
  <si>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</si>
  <si>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</si>
  <si>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</si>
  <si>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</si>
  <si>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</si>
  <si>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</si>
  <si>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</si>
  <si>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</si>
  <si>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</si>
  <si>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</si>
  <si>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</si>
  <si>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</si>
  <si>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</si>
  <si>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</si>
  <si>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</si>
  <si>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</si>
  <si>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</si>
  <si>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</si>
  <si>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</si>
  <si>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</si>
  <si>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</si>
  <si>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</si>
  <si>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</si>
  <si>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</si>
  <si>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</si>
  <si>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</si>
  <si>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</si>
  <si>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</si>
  <si>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</si>
  <si>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</si>
  <si>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</si>
  <si>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</si>
  <si>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</si>
  <si>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</si>
  <si>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</si>
  <si>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</si>
  <si>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</si>
  <si>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</si>
  <si>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</si>
  <si>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</si>
  <si>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</si>
  <si>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</si>
  <si>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</si>
  <si>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</si>
  <si>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</si>
  <si>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</si>
  <si>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</si>
  <si>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</si>
  <si>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</si>
  <si>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</si>
  <si>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</si>
  <si>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</si>
  <si>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</si>
  <si>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</si>
  <si>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</si>
  <si>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</si>
  <si>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</si>
  <si>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</si>
  <si>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</si>
  <si>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</si>
  <si>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</si>
  <si>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</si>
  <si>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</si>
  <si>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</si>
  <si>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</si>
  <si>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</si>
  <si>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</si>
  <si>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</si>
  <si>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</si>
  <si>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</si>
  <si>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</si>
  <si>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</si>
  <si>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</si>
  <si>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</si>
  <si>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</si>
  <si>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</si>
  <si>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</si>
  <si>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</si>
  <si>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</si>
  <si>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</si>
  <si>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</si>
  <si>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</si>
  <si>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</si>
  <si>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</si>
  <si>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</si>
  <si>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</si>
  <si>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</si>
  <si>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</si>
  <si>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</si>
  <si>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</si>
  <si>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</si>
  <si>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</si>
  <si>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</si>
  <si>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</si>
  <si>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</si>
  <si>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</si>
  <si>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</si>
  <si>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</si>
  <si>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</si>
  <si>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</si>
  <si>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</si>
  <si>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</si>
  <si>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</si>
  <si>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</si>
  <si>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</si>
  <si>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</si>
  <si>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</si>
  <si>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</si>
  <si>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</si>
  <si>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</si>
  <si>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</si>
  <si>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</si>
  <si>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</si>
  <si>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</si>
  <si>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</si>
  <si>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</si>
  <si>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</si>
  <si>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</si>
  <si>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</si>
  <si>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</si>
  <si>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</si>
  <si>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</si>
  <si>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</si>
  <si>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</si>
  <si>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</si>
  <si>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</si>
  <si>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</si>
  <si>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</si>
  <si>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</si>
  <si>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</si>
  <si>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</si>
  <si>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</si>
  <si>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</si>
  <si>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</si>
  <si>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</si>
  <si>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</si>
  <si>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</si>
  <si>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</si>
  <si>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</si>
  <si>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</si>
  <si>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</si>
  <si>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</si>
  <si>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</si>
  <si>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</si>
  <si>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</si>
  <si>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</si>
  <si>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</si>
  <si>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</si>
  <si>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</si>
  <si>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</si>
  <si>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</si>
  <si>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</si>
  <si>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</si>
  <si>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</si>
  <si>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</si>
  <si>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</si>
  <si>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</si>
  <si>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</si>
  <si>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</si>
  <si>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</si>
  <si>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</si>
  <si>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</si>
  <si>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</si>
  <si>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</si>
  <si>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</si>
  <si>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</si>
  <si>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</si>
  <si>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</si>
  <si>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</si>
  <si>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</si>
  <si>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</si>
  <si>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</si>
  <si>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</si>
  <si>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</si>
  <si>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</si>
  <si>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</si>
  <si>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</si>
  <si>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</si>
  <si>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</si>
  <si>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</si>
  <si>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</si>
  <si>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</si>
  <si>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</si>
  <si>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</si>
  <si>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</si>
  <si>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</si>
  <si>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</si>
  <si>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</si>
  <si>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</si>
  <si>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</si>
  <si>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</si>
  <si>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</si>
  <si>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</si>
  <si>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</si>
  <si>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</si>
  <si>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</si>
  <si>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</si>
  <si>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</si>
  <si>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</si>
  <si>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</si>
  <si>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</si>
  <si>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</si>
  <si>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</si>
  <si>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</si>
  <si>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</si>
  <si>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</si>
  <si>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</si>
  <si>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</si>
  <si>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</si>
  <si>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</si>
  <si>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13037</t>
  </si>
  <si>
    <t>RIJKEVORSEL</t>
  </si>
  <si>
    <t>Paarden&amp;pony's 200 - 600 kg</t>
  </si>
  <si>
    <t>Paarden&amp;pony's &lt; 200 kg</t>
  </si>
  <si>
    <t>op basis van VEA (maart 2018) en Inventaris Hernieuwbare Energiebronnen (juni 2018)</t>
  </si>
  <si>
    <t>VEA (juni 2018)</t>
  </si>
  <si>
    <t>VGT Energie cvba</t>
  </si>
  <si>
    <t>Bolksedijk 8, 2310 Rijkevorsel</t>
  </si>
  <si>
    <t>WKK-0014 VGT Rijkevorsel</t>
  </si>
  <si>
    <t>interne verbrandingsmotor</t>
  </si>
  <si>
    <t>WKK interne verbrandinsgmotor (gas)</t>
  </si>
  <si>
    <t>Bolkse dijk 8, 2310 Rijkevorsel</t>
  </si>
  <si>
    <t>IVEKA</t>
  </si>
  <si>
    <t>Tomana bvba</t>
  </si>
  <si>
    <t>Brandgravenweg 7, 2310 Rijkevorsel</t>
  </si>
  <si>
    <t>WKK-0148 Tomana bvba</t>
  </si>
  <si>
    <t>BIO7 nv</t>
  </si>
  <si>
    <t>Berkenrijs 6, 2960 Sint-Lenaarts</t>
  </si>
  <si>
    <t>WKK-0154 Bio7</t>
  </si>
  <si>
    <t>Berkenrijs 6, 2310 Rijkevorsel</t>
  </si>
  <si>
    <t>Hortigro bvba</t>
  </si>
  <si>
    <t>Helhoek 23, 2310 Rijkevorsel</t>
  </si>
  <si>
    <t>WKK-0142 Hortigro bvba</t>
  </si>
  <si>
    <t>Varom bvba</t>
  </si>
  <si>
    <t>Vrouwkensblok 5, 2310 Rijkevorsel</t>
  </si>
  <si>
    <t>WKK-0166 Varom bvba</t>
  </si>
  <si>
    <t>Mepetom nv</t>
  </si>
  <si>
    <t>Oude Baan 8, 2310 Rijkevorsel</t>
  </si>
  <si>
    <t xml:space="preserve">WKK-0161 Mepetom </t>
  </si>
  <si>
    <t>Ludo Van Rompaey</t>
  </si>
  <si>
    <t>Oude Baan 9 , 2310 Rijkevorsel</t>
  </si>
  <si>
    <t>WKK-0178 Ludo Van Rompaey</t>
  </si>
  <si>
    <t>Stoffels bvba</t>
  </si>
  <si>
    <t>Kleine Gammel 61, 2310 Rijkevorsel</t>
  </si>
  <si>
    <t>WKK-0112 Stoffels</t>
  </si>
  <si>
    <t>Biolectric nv</t>
  </si>
  <si>
    <t>Jan de Malschelaan 4 B, 9140 Temse</t>
  </si>
  <si>
    <t>WKK-0477 Raf Van Riel</t>
  </si>
  <si>
    <t>Helhoek 19 , 2310 Rijkevorsel</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</si>
</sst>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13037</v>
      </c>
      <c r="B6" s="397"/>
      <c r="C6" s="398"/>
    </row>
    <row r="7" spans="1:7" s="395" customFormat="1" ht="15.75" customHeight="1">
      <c r="A7" s="399" t="str">
        <f>txtMunicipality</f>
        <v>RIJKEVORSEL</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13037</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4433</v>
      </c>
      <c r="C9" s="338">
        <v>4957</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2824</v>
      </c>
    </row>
    <row r="15" spans="1:6">
      <c r="A15" s="1260" t="s">
        <v>184</v>
      </c>
      <c r="B15" s="335">
        <v>1628</v>
      </c>
    </row>
    <row r="16" spans="1:6">
      <c r="A16" s="1260" t="s">
        <v>6</v>
      </c>
      <c r="B16" s="335">
        <v>2089</v>
      </c>
    </row>
    <row r="17" spans="1:6">
      <c r="A17" s="1260" t="s">
        <v>7</v>
      </c>
      <c r="B17" s="335">
        <v>722</v>
      </c>
    </row>
    <row r="18" spans="1:6">
      <c r="A18" s="1260" t="s">
        <v>8</v>
      </c>
      <c r="B18" s="335">
        <v>1768</v>
      </c>
    </row>
    <row r="19" spans="1:6">
      <c r="A19" s="1260" t="s">
        <v>9</v>
      </c>
      <c r="B19" s="335">
        <v>1604</v>
      </c>
    </row>
    <row r="20" spans="1:6">
      <c r="A20" s="1260" t="s">
        <v>10</v>
      </c>
      <c r="B20" s="335">
        <v>1322</v>
      </c>
    </row>
    <row r="21" spans="1:6">
      <c r="A21" s="1260" t="s">
        <v>11</v>
      </c>
      <c r="B21" s="335">
        <v>21391</v>
      </c>
    </row>
    <row r="22" spans="1:6">
      <c r="A22" s="1260" t="s">
        <v>12</v>
      </c>
      <c r="B22" s="335">
        <v>36608</v>
      </c>
    </row>
    <row r="23" spans="1:6">
      <c r="A23" s="1260" t="s">
        <v>13</v>
      </c>
      <c r="B23" s="335">
        <v>599</v>
      </c>
    </row>
    <row r="24" spans="1:6">
      <c r="A24" s="1260" t="s">
        <v>14</v>
      </c>
      <c r="B24" s="335">
        <v>52</v>
      </c>
    </row>
    <row r="25" spans="1:6">
      <c r="A25" s="1260" t="s">
        <v>15</v>
      </c>
      <c r="B25" s="335">
        <v>3136</v>
      </c>
    </row>
    <row r="26" spans="1:6">
      <c r="A26" s="1260" t="s">
        <v>16</v>
      </c>
      <c r="B26" s="335">
        <v>123</v>
      </c>
    </row>
    <row r="27" spans="1:6">
      <c r="A27" s="1260" t="s">
        <v>17</v>
      </c>
      <c r="B27" s="335">
        <v>0</v>
      </c>
    </row>
    <row r="28" spans="1:6" s="341" customFormat="1">
      <c r="A28" s="1261" t="s">
        <v>18</v>
      </c>
      <c r="B28" s="1261">
        <v>494927</v>
      </c>
    </row>
    <row r="29" spans="1:6">
      <c r="A29" s="1261" t="s">
        <v>910</v>
      </c>
      <c r="B29" s="1261">
        <v>104</v>
      </c>
      <c r="C29" s="341"/>
      <c r="D29" s="341"/>
      <c r="E29" s="341"/>
      <c r="F29" s="341"/>
    </row>
    <row r="30" spans="1:6">
      <c r="A30" s="1256" t="s">
        <v>911</v>
      </c>
      <c r="B30" s="1256">
        <v>13</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7</v>
      </c>
      <c r="F35" s="335">
        <v>6274388.7968479004</v>
      </c>
    </row>
    <row r="36" spans="1:6">
      <c r="A36" s="1260" t="s">
        <v>25</v>
      </c>
      <c r="B36" s="1260" t="s">
        <v>27</v>
      </c>
      <c r="C36" s="335">
        <v>0</v>
      </c>
      <c r="D36" s="335">
        <v>0</v>
      </c>
      <c r="E36" s="335">
        <v>3</v>
      </c>
      <c r="F36" s="335">
        <v>477425.39651132002</v>
      </c>
    </row>
    <row r="37" spans="1:6">
      <c r="A37" s="1260" t="s">
        <v>25</v>
      </c>
      <c r="B37" s="1260" t="s">
        <v>28</v>
      </c>
      <c r="C37" s="335">
        <v>0</v>
      </c>
      <c r="D37" s="335">
        <v>0</v>
      </c>
      <c r="E37" s="335">
        <v>0</v>
      </c>
      <c r="F37" s="335">
        <v>0</v>
      </c>
    </row>
    <row r="38" spans="1:6">
      <c r="A38" s="1260" t="s">
        <v>25</v>
      </c>
      <c r="B38" s="1260" t="s">
        <v>29</v>
      </c>
      <c r="C38" s="335">
        <v>2</v>
      </c>
      <c r="D38" s="335">
        <v>79580432.872099996</v>
      </c>
      <c r="E38" s="335">
        <v>4</v>
      </c>
      <c r="F38" s="335">
        <v>1067077.6612706401</v>
      </c>
    </row>
    <row r="39" spans="1:6">
      <c r="A39" s="1260" t="s">
        <v>30</v>
      </c>
      <c r="B39" s="1260" t="s">
        <v>31</v>
      </c>
      <c r="C39" s="335">
        <v>2982</v>
      </c>
      <c r="D39" s="335">
        <v>56793089.671079598</v>
      </c>
      <c r="E39" s="335">
        <v>4487</v>
      </c>
      <c r="F39" s="335">
        <v>20533352.218150001</v>
      </c>
    </row>
    <row r="40" spans="1:6">
      <c r="A40" s="1260" t="s">
        <v>30</v>
      </c>
      <c r="B40" s="1260" t="s">
        <v>29</v>
      </c>
      <c r="C40" s="335">
        <v>0</v>
      </c>
      <c r="D40" s="335">
        <v>0</v>
      </c>
      <c r="E40" s="335">
        <v>0</v>
      </c>
      <c r="F40" s="335">
        <v>0</v>
      </c>
    </row>
    <row r="41" spans="1:6">
      <c r="A41" s="1260" t="s">
        <v>32</v>
      </c>
      <c r="B41" s="1260" t="s">
        <v>33</v>
      </c>
      <c r="C41" s="335">
        <v>32</v>
      </c>
      <c r="D41" s="335">
        <v>1017537.15451503</v>
      </c>
      <c r="E41" s="335">
        <v>114</v>
      </c>
      <c r="F41" s="335">
        <v>3398764.36452968</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19</v>
      </c>
      <c r="F44" s="335">
        <v>412316.94223517401</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21</v>
      </c>
      <c r="D48" s="335">
        <v>15602877.9660093</v>
      </c>
      <c r="E48" s="335">
        <v>28</v>
      </c>
      <c r="F48" s="335">
        <v>8818763.2071940992</v>
      </c>
    </row>
    <row r="49" spans="1:6">
      <c r="A49" s="1260" t="s">
        <v>32</v>
      </c>
      <c r="B49" s="1260" t="s">
        <v>40</v>
      </c>
      <c r="C49" s="335">
        <v>0</v>
      </c>
      <c r="D49" s="335">
        <v>0</v>
      </c>
      <c r="E49" s="335">
        <v>0</v>
      </c>
      <c r="F49" s="335">
        <v>0</v>
      </c>
    </row>
    <row r="50" spans="1:6">
      <c r="A50" s="1260" t="s">
        <v>32</v>
      </c>
      <c r="B50" s="1260" t="s">
        <v>41</v>
      </c>
      <c r="C50" s="335">
        <v>8</v>
      </c>
      <c r="D50" s="335">
        <v>661745.43770499201</v>
      </c>
      <c r="E50" s="335">
        <v>10</v>
      </c>
      <c r="F50" s="335">
        <v>407984.89085655002</v>
      </c>
    </row>
    <row r="51" spans="1:6">
      <c r="A51" s="1260" t="s">
        <v>42</v>
      </c>
      <c r="B51" s="1260" t="s">
        <v>43</v>
      </c>
      <c r="C51" s="335">
        <v>12</v>
      </c>
      <c r="D51" s="335">
        <v>285254041.04194802</v>
      </c>
      <c r="E51" s="335">
        <v>142</v>
      </c>
      <c r="F51" s="335">
        <v>5021359.6431231303</v>
      </c>
    </row>
    <row r="52" spans="1:6">
      <c r="A52" s="1260" t="s">
        <v>42</v>
      </c>
      <c r="B52" s="1260" t="s">
        <v>29</v>
      </c>
      <c r="C52" s="335">
        <v>10</v>
      </c>
      <c r="D52" s="335">
        <v>2834114.4180126698</v>
      </c>
      <c r="E52" s="335">
        <v>11</v>
      </c>
      <c r="F52" s="335">
        <v>578773.59703205805</v>
      </c>
    </row>
    <row r="53" spans="1:6">
      <c r="A53" s="1260" t="s">
        <v>44</v>
      </c>
      <c r="B53" s="1260" t="s">
        <v>45</v>
      </c>
      <c r="C53" s="335">
        <v>52</v>
      </c>
      <c r="D53" s="335">
        <v>1084971.23655635</v>
      </c>
      <c r="E53" s="335">
        <v>99</v>
      </c>
      <c r="F53" s="335">
        <v>600071.03159522905</v>
      </c>
    </row>
    <row r="54" spans="1:6">
      <c r="A54" s="1260" t="s">
        <v>46</v>
      </c>
      <c r="B54" s="1260" t="s">
        <v>47</v>
      </c>
      <c r="C54" s="335">
        <v>0</v>
      </c>
      <c r="D54" s="335">
        <v>0</v>
      </c>
      <c r="E54" s="335">
        <v>1</v>
      </c>
      <c r="F54" s="335">
        <v>741938</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6</v>
      </c>
      <c r="D57" s="335">
        <v>181714.32498210599</v>
      </c>
      <c r="E57" s="335">
        <v>61</v>
      </c>
      <c r="F57" s="335">
        <v>1355183.07262455</v>
      </c>
    </row>
    <row r="58" spans="1:6">
      <c r="A58" s="1260" t="s">
        <v>49</v>
      </c>
      <c r="B58" s="1260" t="s">
        <v>51</v>
      </c>
      <c r="C58" s="335">
        <v>0</v>
      </c>
      <c r="D58" s="335">
        <v>0</v>
      </c>
      <c r="E58" s="335">
        <v>12</v>
      </c>
      <c r="F58" s="335">
        <v>156875.11832520799</v>
      </c>
    </row>
    <row r="59" spans="1:6">
      <c r="A59" s="1260" t="s">
        <v>49</v>
      </c>
      <c r="B59" s="1260" t="s">
        <v>52</v>
      </c>
      <c r="C59" s="335">
        <v>37</v>
      </c>
      <c r="D59" s="335">
        <v>3038497.7094126502</v>
      </c>
      <c r="E59" s="335">
        <v>109</v>
      </c>
      <c r="F59" s="335">
        <v>4209747.3261774499</v>
      </c>
    </row>
    <row r="60" spans="1:6">
      <c r="A60" s="1260" t="s">
        <v>49</v>
      </c>
      <c r="B60" s="1260" t="s">
        <v>53</v>
      </c>
      <c r="C60" s="335">
        <v>34</v>
      </c>
      <c r="D60" s="335">
        <v>1449421.6075899701</v>
      </c>
      <c r="E60" s="335">
        <v>53</v>
      </c>
      <c r="F60" s="335">
        <v>1719847.3863086901</v>
      </c>
    </row>
    <row r="61" spans="1:6">
      <c r="A61" s="1260" t="s">
        <v>49</v>
      </c>
      <c r="B61" s="1260" t="s">
        <v>54</v>
      </c>
      <c r="C61" s="335">
        <v>38</v>
      </c>
      <c r="D61" s="335">
        <v>3957053.5807757499</v>
      </c>
      <c r="E61" s="335">
        <v>106</v>
      </c>
      <c r="F61" s="335">
        <v>1423236.67257661</v>
      </c>
    </row>
    <row r="62" spans="1:6">
      <c r="A62" s="1260" t="s">
        <v>49</v>
      </c>
      <c r="B62" s="1260" t="s">
        <v>55</v>
      </c>
      <c r="C62" s="335">
        <v>4</v>
      </c>
      <c r="D62" s="335">
        <v>302751.56987973599</v>
      </c>
      <c r="E62" s="335">
        <v>5</v>
      </c>
      <c r="F62" s="335">
        <v>83254.442312864601</v>
      </c>
    </row>
    <row r="63" spans="1:6">
      <c r="A63" s="1260" t="s">
        <v>49</v>
      </c>
      <c r="B63" s="1260" t="s">
        <v>29</v>
      </c>
      <c r="C63" s="335">
        <v>70</v>
      </c>
      <c r="D63" s="335">
        <v>3599259.2555500502</v>
      </c>
      <c r="E63" s="335">
        <v>91</v>
      </c>
      <c r="F63" s="335">
        <v>10704752.0636716</v>
      </c>
    </row>
    <row r="64" spans="1:6">
      <c r="A64" s="1260" t="s">
        <v>56</v>
      </c>
      <c r="B64" s="1260" t="s">
        <v>57</v>
      </c>
      <c r="C64" s="335">
        <v>0</v>
      </c>
      <c r="D64" s="335">
        <v>0</v>
      </c>
      <c r="E64" s="335">
        <v>0</v>
      </c>
      <c r="F64" s="335">
        <v>0</v>
      </c>
    </row>
    <row r="65" spans="1:6">
      <c r="A65" s="1260" t="s">
        <v>56</v>
      </c>
      <c r="B65" s="1260" t="s">
        <v>29</v>
      </c>
      <c r="C65" s="335">
        <v>2</v>
      </c>
      <c r="D65" s="335">
        <v>59425.036793309999</v>
      </c>
      <c r="E65" s="335">
        <v>1</v>
      </c>
      <c r="F65" s="335">
        <v>10524.1738221747</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3</v>
      </c>
      <c r="D68" s="335">
        <v>113167.642045448</v>
      </c>
      <c r="E68" s="335">
        <v>11</v>
      </c>
      <c r="F68" s="335">
        <v>393140.76349135599</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47260893</v>
      </c>
      <c r="E73" s="335">
        <v>48702574.270100348</v>
      </c>
    </row>
    <row r="74" spans="1:6">
      <c r="A74" s="1260" t="s">
        <v>64</v>
      </c>
      <c r="B74" s="1260" t="s">
        <v>772</v>
      </c>
      <c r="C74" s="1271" t="s">
        <v>766</v>
      </c>
      <c r="D74" s="335">
        <v>5814451.8931306405</v>
      </c>
      <c r="E74" s="335">
        <v>6140329.8454472525</v>
      </c>
    </row>
    <row r="75" spans="1:6">
      <c r="A75" s="1260" t="s">
        <v>65</v>
      </c>
      <c r="B75" s="1260" t="s">
        <v>771</v>
      </c>
      <c r="C75" s="1271" t="s">
        <v>767</v>
      </c>
      <c r="D75" s="335">
        <v>8918143</v>
      </c>
      <c r="E75" s="335">
        <v>9213554.4517974183</v>
      </c>
    </row>
    <row r="76" spans="1:6">
      <c r="A76" s="1260" t="s">
        <v>65</v>
      </c>
      <c r="B76" s="1260" t="s">
        <v>772</v>
      </c>
      <c r="C76" s="1271" t="s">
        <v>768</v>
      </c>
      <c r="D76" s="335">
        <v>69929.893130640528</v>
      </c>
      <c r="E76" s="335">
        <v>98160.663372926763</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402610.21373871894</v>
      </c>
      <c r="C83" s="335">
        <v>378993.68810436863</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2327.1847454119193</v>
      </c>
    </row>
    <row r="92" spans="1:6">
      <c r="A92" s="1256" t="s">
        <v>69</v>
      </c>
      <c r="B92" s="338">
        <v>1316.8891682888029</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1914</v>
      </c>
    </row>
    <row r="98" spans="1:6">
      <c r="A98" s="1260" t="s">
        <v>72</v>
      </c>
      <c r="B98" s="335">
        <v>6</v>
      </c>
    </row>
    <row r="99" spans="1:6">
      <c r="A99" s="1260" t="s">
        <v>73</v>
      </c>
      <c r="B99" s="335">
        <v>114</v>
      </c>
    </row>
    <row r="100" spans="1:6">
      <c r="A100" s="1260" t="s">
        <v>74</v>
      </c>
      <c r="B100" s="335">
        <v>381</v>
      </c>
    </row>
    <row r="101" spans="1:6">
      <c r="A101" s="1260" t="s">
        <v>75</v>
      </c>
      <c r="B101" s="335">
        <v>105</v>
      </c>
    </row>
    <row r="102" spans="1:6">
      <c r="A102" s="1260" t="s">
        <v>76</v>
      </c>
      <c r="B102" s="335">
        <v>41</v>
      </c>
    </row>
    <row r="103" spans="1:6">
      <c r="A103" s="1260" t="s">
        <v>77</v>
      </c>
      <c r="B103" s="335">
        <v>117</v>
      </c>
    </row>
    <row r="104" spans="1:6">
      <c r="A104" s="1260" t="s">
        <v>78</v>
      </c>
      <c r="B104" s="335">
        <v>1106</v>
      </c>
    </row>
    <row r="105" spans="1:6">
      <c r="A105" s="1256" t="s">
        <v>79</v>
      </c>
      <c r="B105" s="1256">
        <v>5</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8</v>
      </c>
      <c r="C123" s="335">
        <v>7</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37</v>
      </c>
    </row>
    <row r="130" spans="1:6">
      <c r="A130" s="1260" t="s">
        <v>295</v>
      </c>
      <c r="B130" s="335">
        <v>0</v>
      </c>
    </row>
    <row r="131" spans="1:6">
      <c r="A131" s="1260" t="s">
        <v>296</v>
      </c>
      <c r="B131" s="335">
        <v>0</v>
      </c>
    </row>
    <row r="132" spans="1:6">
      <c r="A132" s="1256" t="s">
        <v>297</v>
      </c>
      <c r="B132" s="338">
        <v>10</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61894.515699057563</v>
      </c>
      <c r="C3" s="44" t="s">
        <v>170</v>
      </c>
      <c r="D3" s="44"/>
      <c r="E3" s="157"/>
      <c r="F3" s="44"/>
      <c r="G3" s="44"/>
      <c r="H3" s="44"/>
      <c r="I3" s="44"/>
      <c r="J3" s="44"/>
      <c r="K3" s="97"/>
    </row>
    <row r="4" spans="1:11">
      <c r="A4" s="365" t="s">
        <v>171</v>
      </c>
      <c r="B4" s="50">
        <f>IF(ISERROR('SEAP template'!B69),0,'SEAP template'!B69)</f>
        <v>126546.72391370071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26090.438823529414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0.20617237662605903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37272.055462184879</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175575.21428571429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0.21228540494065357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741.93799999999999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741.93799999999999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0.20617237662605903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152.96712076918499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20533.352218150001</v>
      </c>
      <c r="C5" s="18">
        <f>IF(ISERROR('Eigen informatie GS &amp; warmtenet'!B57),0,'Eigen informatie GS &amp; warmtenet'!B57)</f>
        <v>0</v>
      </c>
      <c r="D5" s="31">
        <f>(SUM(HH_hh_gas_kWh,HH_rest_gas_kWh)/1000)*0.902</f>
        <v>51227.3668833138</v>
      </c>
      <c r="E5" s="18">
        <f>B46*B57</f>
        <v>5350.8859340710396</v>
      </c>
      <c r="F5" s="18">
        <f>B51*B62</f>
        <v>2858.3352451394485</v>
      </c>
      <c r="G5" s="19"/>
      <c r="H5" s="18"/>
      <c r="I5" s="18"/>
      <c r="J5" s="18">
        <f>B50*B61+C50*C61</f>
        <v>321.88159197940251</v>
      </c>
      <c r="K5" s="18"/>
      <c r="L5" s="18"/>
      <c r="M5" s="18"/>
      <c r="N5" s="18">
        <f>B48*B59+C48*C59</f>
        <v>16005.342620601863</v>
      </c>
      <c r="O5" s="18">
        <f>B69*B70*B71</f>
        <v>68.786666666666676</v>
      </c>
      <c r="P5" s="18">
        <f>B77*B78*B79/1000-B77*B78*B79/1000/B80</f>
        <v>343.2</v>
      </c>
    </row>
    <row r="6" spans="1:16">
      <c r="A6" s="17" t="s">
        <v>639</v>
      </c>
      <c r="B6" s="831">
        <f>kWh_PV_kleiner_dan_10kW</f>
        <v>2327.1847454119193</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22860.536963561921</v>
      </c>
      <c r="C8" s="22">
        <f>C5</f>
        <v>0</v>
      </c>
      <c r="D8" s="22">
        <f>D5</f>
        <v>51227.3668833138</v>
      </c>
      <c r="E8" s="22">
        <f>E5</f>
        <v>5350.8859340710396</v>
      </c>
      <c r="F8" s="22">
        <f>F5</f>
        <v>2858.3352451394485</v>
      </c>
      <c r="G8" s="22"/>
      <c r="H8" s="22"/>
      <c r="I8" s="22"/>
      <c r="J8" s="22">
        <f>J5</f>
        <v>321.88159197940251</v>
      </c>
      <c r="K8" s="22"/>
      <c r="L8" s="22">
        <f>L5</f>
        <v>0</v>
      </c>
      <c r="M8" s="22">
        <f>M5</f>
        <v>0</v>
      </c>
      <c r="N8" s="22">
        <f>N5</f>
        <v>16005.342620601863</v>
      </c>
      <c r="O8" s="22">
        <f>O5</f>
        <v>68.786666666666676</v>
      </c>
      <c r="P8" s="22">
        <f>P5</f>
        <v>343.2</v>
      </c>
    </row>
    <row r="9" spans="1:16">
      <c r="B9" s="20"/>
      <c r="C9" s="20"/>
      <c r="D9" s="262"/>
      <c r="E9" s="20"/>
      <c r="F9" s="20"/>
      <c r="G9" s="20"/>
      <c r="H9" s="20"/>
      <c r="I9" s="20"/>
      <c r="J9" s="20"/>
      <c r="K9" s="20"/>
      <c r="L9" s="20"/>
      <c r="M9" s="20"/>
      <c r="N9" s="20"/>
      <c r="O9" s="20"/>
      <c r="P9" s="20"/>
    </row>
    <row r="10" spans="1:16">
      <c r="A10" s="25" t="s">
        <v>214</v>
      </c>
      <c r="B10" s="26">
        <f ca="1">'EF ele_warmte'!B12</f>
        <v>0.20617237662605903</v>
      </c>
      <c r="C10" s="26">
        <f ca="1">'EF ele_warmte'!B22</f>
        <v>0.21228540494065357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4713.2112367254322</v>
      </c>
      <c r="C12" s="24">
        <f ca="1">C10*C8</f>
        <v>0</v>
      </c>
      <c r="D12" s="24">
        <f>D8*D10</f>
        <v>10347.928110429388</v>
      </c>
      <c r="E12" s="24">
        <f>E10*E8</f>
        <v>1214.651107034126</v>
      </c>
      <c r="F12" s="24">
        <f>F10*F8</f>
        <v>763.17551045223274</v>
      </c>
      <c r="G12" s="24"/>
      <c r="H12" s="24"/>
      <c r="I12" s="24"/>
      <c r="J12" s="24">
        <f>J10*J8</f>
        <v>113.94608356070849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1914</v>
      </c>
      <c r="C18" s="169" t="s">
        <v>111</v>
      </c>
      <c r="D18" s="231"/>
      <c r="E18" s="16"/>
    </row>
    <row r="19" spans="1:7">
      <c r="A19" s="174" t="s">
        <v>72</v>
      </c>
      <c r="B19" s="38">
        <f>aantalw2001_ander</f>
        <v>6</v>
      </c>
      <c r="C19" s="169" t="s">
        <v>111</v>
      </c>
      <c r="D19" s="232"/>
      <c r="E19" s="16"/>
    </row>
    <row r="20" spans="1:7">
      <c r="A20" s="174" t="s">
        <v>73</v>
      </c>
      <c r="B20" s="38">
        <f>aantalw2001_propaan</f>
        <v>114</v>
      </c>
      <c r="C20" s="170">
        <f>IF(ISERROR(B20/SUM($B$20,$B$21,$B$22)*100),0,B20/SUM($B$20,$B$21,$B$22)*100)</f>
        <v>19</v>
      </c>
      <c r="D20" s="232"/>
      <c r="E20" s="16"/>
    </row>
    <row r="21" spans="1:7">
      <c r="A21" s="174" t="s">
        <v>74</v>
      </c>
      <c r="B21" s="38">
        <f>aantalw2001_elektriciteit</f>
        <v>381</v>
      </c>
      <c r="C21" s="170">
        <f>IF(ISERROR(B21/SUM($B$20,$B$21,$B$22)*100),0,B21/SUM($B$20,$B$21,$B$22)*100)</f>
        <v>63.5</v>
      </c>
      <c r="D21" s="232"/>
      <c r="E21" s="16"/>
    </row>
    <row r="22" spans="1:7">
      <c r="A22" s="174" t="s">
        <v>75</v>
      </c>
      <c r="B22" s="38">
        <f>aantalw2001_hout</f>
        <v>105</v>
      </c>
      <c r="C22" s="170">
        <f>IF(ISERROR(B22/SUM($B$20,$B$21,$B$22)*100),0,B22/SUM($B$20,$B$21,$B$22)*100)</f>
        <v>17.5</v>
      </c>
      <c r="D22" s="232"/>
      <c r="E22" s="16"/>
    </row>
    <row r="23" spans="1:7">
      <c r="A23" s="174" t="s">
        <v>76</v>
      </c>
      <c r="B23" s="38">
        <f>aantalw2001_niet_gespec</f>
        <v>41</v>
      </c>
      <c r="C23" s="169" t="s">
        <v>111</v>
      </c>
      <c r="D23" s="231"/>
      <c r="E23" s="16"/>
    </row>
    <row r="24" spans="1:7">
      <c r="A24" s="174" t="s">
        <v>77</v>
      </c>
      <c r="B24" s="38">
        <f>aantalw2001_steenkool</f>
        <v>117</v>
      </c>
      <c r="C24" s="169" t="s">
        <v>111</v>
      </c>
      <c r="D24" s="232"/>
      <c r="E24" s="16"/>
    </row>
    <row r="25" spans="1:7">
      <c r="A25" s="174" t="s">
        <v>78</v>
      </c>
      <c r="B25" s="38">
        <f>aantalw2001_stookolie</f>
        <v>1106</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4433</v>
      </c>
      <c r="C28" s="37"/>
      <c r="D28" s="231"/>
    </row>
    <row r="29" spans="1:7" s="16" customFormat="1">
      <c r="A29" s="233" t="s">
        <v>666</v>
      </c>
      <c r="B29" s="38">
        <f>SUM(HH_hh_gas_aantal,HH_rest_gas_aantal)</f>
        <v>2982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2982</v>
      </c>
      <c r="C32" s="170">
        <f>IF(ISERROR(B32/SUM($B$32,$B$34,$B$35,$B$36,$B$38,$B$39)*100),0,B32/SUM($B$32,$B$34,$B$35,$B$36,$B$38,$B$39)*100)</f>
        <v>67.54246885617215</v>
      </c>
      <c r="D32" s="236"/>
      <c r="G32" s="16"/>
    </row>
    <row r="33" spans="1:7">
      <c r="A33" s="174" t="s">
        <v>72</v>
      </c>
      <c r="B33" s="35" t="s">
        <v>111</v>
      </c>
      <c r="C33" s="170"/>
      <c r="D33" s="236"/>
      <c r="G33" s="16"/>
    </row>
    <row r="34" spans="1:7">
      <c r="A34" s="174" t="s">
        <v>73</v>
      </c>
      <c r="B34" s="34">
        <f>IF((($B$28-$B$32-$B$39-$B$77-$B$38)*C20/100)&lt;0,0,($B$28-$B$32-$B$39-$B$77-$B$38)*C20/100)</f>
        <v>242.82</v>
      </c>
      <c r="C34" s="170">
        <f>IF(ISERROR(B34/SUM($B$32,$B$34,$B$35,$B$36,$B$38,$B$39)*100),0,B34/SUM($B$32,$B$34,$B$35,$B$36,$B$38,$B$39)*100)</f>
        <v>5.4998867497168744</v>
      </c>
      <c r="D34" s="236"/>
      <c r="G34" s="16"/>
    </row>
    <row r="35" spans="1:7">
      <c r="A35" s="174" t="s">
        <v>74</v>
      </c>
      <c r="B35" s="34">
        <f>IF((($B$28-$B$32-$B$39-$B$77-$B$38)*C21/100)&lt;0,0,($B$28-$B$32-$B$39-$B$77-$B$38)*C21/100)</f>
        <v>811.53</v>
      </c>
      <c r="C35" s="170">
        <f>IF(ISERROR(B35/SUM($B$32,$B$34,$B$35,$B$36,$B$38,$B$39)*100),0,B35/SUM($B$32,$B$34,$B$35,$B$36,$B$38,$B$39)*100)</f>
        <v>18.381200453001131</v>
      </c>
      <c r="D35" s="236"/>
      <c r="G35" s="16"/>
    </row>
    <row r="36" spans="1:7">
      <c r="A36" s="174" t="s">
        <v>75</v>
      </c>
      <c r="B36" s="34">
        <f>IF((($B$28-$B$32-$B$39-$B$77-$B$38)*C22/100)&lt;0,0,($B$28-$B$32-$B$39-$B$77-$B$38)*C22/100)</f>
        <v>223.65</v>
      </c>
      <c r="C36" s="170">
        <f>IF(ISERROR(B36/SUM($B$32,$B$34,$B$35,$B$36,$B$38,$B$39)*100),0,B36/SUM($B$32,$B$34,$B$35,$B$36,$B$38,$B$39)*100)</f>
        <v>5.065685164212911</v>
      </c>
      <c r="D36" s="236"/>
      <c r="G36" s="16"/>
    </row>
    <row r="37" spans="1:7">
      <c r="A37" s="174" t="s">
        <v>76</v>
      </c>
      <c r="B37" s="35" t="s">
        <v>111</v>
      </c>
      <c r="C37" s="170"/>
      <c r="D37" s="176"/>
      <c r="G37" s="16"/>
    </row>
    <row r="38" spans="1:7">
      <c r="A38" s="174" t="s">
        <v>77</v>
      </c>
      <c r="B38" s="34">
        <f>IF((B24-(B29-B18)*0.1)&lt;0,0,B24-(B29-B18)*0.1)</f>
        <v>10.199999999999989</v>
      </c>
      <c r="C38" s="170">
        <f>IF(ISERROR(B38/SUM($B$32,$B$34,$B$35,$B$36,$B$38,$B$39)*100),0,B38/SUM($B$32,$B$34,$B$35,$B$36,$B$38,$B$39)*100)</f>
        <v>0.23103057757644369</v>
      </c>
      <c r="D38" s="237"/>
      <c r="G38" s="16"/>
    </row>
    <row r="39" spans="1:7">
      <c r="A39" s="174" t="s">
        <v>78</v>
      </c>
      <c r="B39" s="34">
        <f>IF((B25-(B29-B18))&lt;0,0,B25-(B29-B18)*0.9)</f>
        <v>144.79999999999995</v>
      </c>
      <c r="C39" s="170">
        <f>IF(ISERROR(B39/SUM($B$32,$B$34,$B$35,$B$36,$B$38,$B$39)*100),0,B39/SUM($B$32,$B$34,$B$35,$B$36,$B$38,$B$39)*100)</f>
        <v>3.2797281993204974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2982</v>
      </c>
      <c r="C44" s="35" t="s">
        <v>111</v>
      </c>
      <c r="D44" s="177"/>
    </row>
    <row r="45" spans="1:7">
      <c r="A45" s="174" t="s">
        <v>72</v>
      </c>
      <c r="B45" s="34" t="str">
        <f t="shared" si="0"/>
        <v>-</v>
      </c>
      <c r="C45" s="35" t="s">
        <v>111</v>
      </c>
      <c r="D45" s="177"/>
    </row>
    <row r="46" spans="1:7">
      <c r="A46" s="174" t="s">
        <v>73</v>
      </c>
      <c r="B46" s="34">
        <f t="shared" si="0"/>
        <v>242.82</v>
      </c>
      <c r="C46" s="35" t="s">
        <v>111</v>
      </c>
      <c r="D46" s="177"/>
    </row>
    <row r="47" spans="1:7">
      <c r="A47" s="174" t="s">
        <v>74</v>
      </c>
      <c r="B47" s="34">
        <f t="shared" si="0"/>
        <v>811.53</v>
      </c>
      <c r="C47" s="35" t="s">
        <v>111</v>
      </c>
      <c r="D47" s="177"/>
    </row>
    <row r="48" spans="1:7">
      <c r="A48" s="174" t="s">
        <v>75</v>
      </c>
      <c r="B48" s="34">
        <f t="shared" si="0"/>
        <v>223.65</v>
      </c>
      <c r="C48" s="34">
        <f>B48*10</f>
        <v>2236.5</v>
      </c>
      <c r="D48" s="237"/>
    </row>
    <row r="49" spans="1:6">
      <c r="A49" s="174" t="s">
        <v>76</v>
      </c>
      <c r="B49" s="34" t="str">
        <f t="shared" si="0"/>
        <v>-</v>
      </c>
      <c r="C49" s="35" t="s">
        <v>111</v>
      </c>
      <c r="D49" s="237"/>
    </row>
    <row r="50" spans="1:6">
      <c r="A50" s="174" t="s">
        <v>77</v>
      </c>
      <c r="B50" s="34">
        <f t="shared" si="0"/>
        <v>10.199999999999989</v>
      </c>
      <c r="C50" s="34">
        <f>B50*2</f>
        <v>20.399999999999977</v>
      </c>
      <c r="D50" s="237"/>
    </row>
    <row r="51" spans="1:6">
      <c r="A51" s="174" t="s">
        <v>78</v>
      </c>
      <c r="B51" s="34">
        <f t="shared" si="0"/>
        <v>144.79999999999995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19652.896081996972</v>
      </c>
      <c r="C5" s="18">
        <f>IF(ISERROR('Eigen informatie GS &amp; warmtenet'!B58),0,'Eigen informatie GS &amp; warmtenet'!B58)</f>
        <v>0</v>
      </c>
      <c r="D5" s="31">
        <f>SUM(D6:D12)</f>
        <v>11300.885639467617</v>
      </c>
      <c r="E5" s="18">
        <f>SUM(E6:E12)</f>
        <v>218.03969710828687</v>
      </c>
      <c r="F5" s="18">
        <f>SUM(F6:F12)</f>
        <v>4033.7995018595084</v>
      </c>
      <c r="G5" s="19"/>
      <c r="H5" s="18"/>
      <c r="I5" s="18"/>
      <c r="J5" s="18">
        <f>SUM(J6:J12)</f>
        <v>0</v>
      </c>
      <c r="K5" s="18"/>
      <c r="L5" s="18"/>
      <c r="M5" s="18"/>
      <c r="N5" s="18">
        <f>SUM(N6:N12)</f>
        <v>1508.8699724996845</v>
      </c>
      <c r="O5" s="18">
        <f>B38*B39*B40</f>
        <v>0</v>
      </c>
      <c r="P5" s="18">
        <f>B46*B47*B48/1000-B46*B47*B48/1000/B49</f>
        <v>0</v>
      </c>
      <c r="R5" s="33"/>
    </row>
    <row r="6" spans="1:18">
      <c r="A6" s="33" t="s">
        <v>54</v>
      </c>
      <c r="B6" s="38">
        <f>B26</f>
        <v>1423.2366725766101</v>
      </c>
      <c r="C6" s="34"/>
      <c r="D6" s="38">
        <f>IF(ISERROR(TER_kantoor_gas_kWh/1000),0,TER_kantoor_gas_kWh/1000)*0.902</f>
        <v>3569.2623298597264</v>
      </c>
      <c r="E6" s="34">
        <f>$C$26*'E Balans VL '!I12/100/3.6*1000000</f>
        <v>2.3358198353991302</v>
      </c>
      <c r="F6" s="34">
        <f>$C$26*('E Balans VL '!L12+'E Balans VL '!N12)/100/3.6*1000000</f>
        <v>167.76611675636963</v>
      </c>
      <c r="G6" s="35"/>
      <c r="H6" s="34"/>
      <c r="I6" s="34"/>
      <c r="J6" s="34">
        <f>$C$26*('E Balans VL '!D12+'E Balans VL '!E12)/100/3.6*1000000</f>
        <v>0</v>
      </c>
      <c r="K6" s="34"/>
      <c r="L6" s="34"/>
      <c r="M6" s="34"/>
      <c r="N6" s="34">
        <f>$C$26*'E Balans VL '!Y12/100/3.6*1000000</f>
        <v>0.28755823011670772</v>
      </c>
      <c r="O6" s="34"/>
      <c r="P6" s="34"/>
      <c r="R6" s="33"/>
    </row>
    <row r="7" spans="1:18">
      <c r="A7" s="33" t="s">
        <v>53</v>
      </c>
      <c r="B7" s="38">
        <f t="shared" ref="B7:B12" si="0">B27</f>
        <v>1719.8473863086901</v>
      </c>
      <c r="C7" s="34"/>
      <c r="D7" s="38">
        <f>IF(ISERROR(TER_horeca_gas_kWh/1000),0,TER_horeca_gas_kWh/1000)*0.902</f>
        <v>1307.3782900461531</v>
      </c>
      <c r="E7" s="34">
        <f>$C$27*'E Balans VL '!I9/100/3.6*1000000</f>
        <v>89.247634267418846</v>
      </c>
      <c r="F7" s="34">
        <f>$C$27*('E Balans VL '!L9+'E Balans VL '!N9)/100/3.6*1000000</f>
        <v>392.47042148309157</v>
      </c>
      <c r="G7" s="35"/>
      <c r="H7" s="34"/>
      <c r="I7" s="34"/>
      <c r="J7" s="34">
        <f>$C$27*('E Balans VL '!D9+'E Balans VL '!E9)/100/3.6*1000000</f>
        <v>0</v>
      </c>
      <c r="K7" s="34"/>
      <c r="L7" s="34"/>
      <c r="M7" s="34"/>
      <c r="N7" s="34">
        <f>$C$27*'E Balans VL '!Y9/100/3.6*1000000</f>
        <v>0.18161509583974778</v>
      </c>
      <c r="O7" s="34"/>
      <c r="P7" s="34"/>
      <c r="R7" s="33"/>
    </row>
    <row r="8" spans="1:18">
      <c r="A8" s="6" t="s">
        <v>52</v>
      </c>
      <c r="B8" s="38">
        <f t="shared" si="0"/>
        <v>4209.7473261774503</v>
      </c>
      <c r="C8" s="34"/>
      <c r="D8" s="38">
        <f>IF(ISERROR(TER_handel_gas_kWh/1000),0,TER_handel_gas_kWh/1000)*0.902</f>
        <v>2740.7249338902107</v>
      </c>
      <c r="E8" s="34">
        <f>$C$28*'E Balans VL '!I13/100/3.6*1000000</f>
        <v>22.670006660656011</v>
      </c>
      <c r="F8" s="34">
        <f>$C$28*('E Balans VL '!L13+'E Balans VL '!N13)/100/3.6*1000000</f>
        <v>858.49258223054574</v>
      </c>
      <c r="G8" s="35"/>
      <c r="H8" s="34"/>
      <c r="I8" s="34"/>
      <c r="J8" s="34">
        <f>$C$28*('E Balans VL '!D13+'E Balans VL '!E13)/100/3.6*1000000</f>
        <v>0</v>
      </c>
      <c r="K8" s="34"/>
      <c r="L8" s="34"/>
      <c r="M8" s="34"/>
      <c r="N8" s="34">
        <f>$C$28*'E Balans VL '!Y13/100/3.6*1000000</f>
        <v>20.932850349210721</v>
      </c>
      <c r="O8" s="34"/>
      <c r="P8" s="34"/>
      <c r="R8" s="33"/>
    </row>
    <row r="9" spans="1:18">
      <c r="A9" s="33" t="s">
        <v>51</v>
      </c>
      <c r="B9" s="38">
        <f t="shared" si="0"/>
        <v>156.87511832520801</v>
      </c>
      <c r="C9" s="34"/>
      <c r="D9" s="38">
        <f>IF(ISERROR(TER_gezond_gas_kWh/1000),0,TER_gezond_gas_kWh/1000)*0.902</f>
        <v>0</v>
      </c>
      <c r="E9" s="34">
        <f>$C$29*'E Balans VL '!I10/100/3.6*1000000</f>
        <v>0.15546502623674355</v>
      </c>
      <c r="F9" s="34">
        <f>$C$29*('E Balans VL '!L10+'E Balans VL '!N10)/100/3.6*1000000</f>
        <v>54.431144307035552</v>
      </c>
      <c r="G9" s="35"/>
      <c r="H9" s="34"/>
      <c r="I9" s="34"/>
      <c r="J9" s="34">
        <f>$C$29*('E Balans VL '!D10+'E Balans VL '!E10)/100/3.6*1000000</f>
        <v>0</v>
      </c>
      <c r="K9" s="34"/>
      <c r="L9" s="34"/>
      <c r="M9" s="34"/>
      <c r="N9" s="34">
        <f>$C$29*'E Balans VL '!Y10/100/3.6*1000000</f>
        <v>1.3517793045819717</v>
      </c>
      <c r="O9" s="34"/>
      <c r="P9" s="34"/>
      <c r="R9" s="33"/>
    </row>
    <row r="10" spans="1:18">
      <c r="A10" s="33" t="s">
        <v>50</v>
      </c>
      <c r="B10" s="38">
        <f t="shared" si="0"/>
        <v>1355.1830726245501</v>
      </c>
      <c r="C10" s="34"/>
      <c r="D10" s="38">
        <f>IF(ISERROR(TER_ander_gas_kWh/1000),0,TER_ander_gas_kWh/1000)*0.902</f>
        <v>163.90632113385959</v>
      </c>
      <c r="E10" s="34">
        <f>$C$30*'E Balans VL '!I14/100/3.6*1000000</f>
        <v>11.086751943091825</v>
      </c>
      <c r="F10" s="34">
        <f>$C$30*('E Balans VL '!L14+'E Balans VL '!N14)/100/3.6*1000000</f>
        <v>396.20035864750952</v>
      </c>
      <c r="G10" s="35"/>
      <c r="H10" s="34"/>
      <c r="I10" s="34"/>
      <c r="J10" s="34">
        <f>$C$30*('E Balans VL '!D14+'E Balans VL '!E14)/100/3.6*1000000</f>
        <v>0</v>
      </c>
      <c r="K10" s="34"/>
      <c r="L10" s="34"/>
      <c r="M10" s="34"/>
      <c r="N10" s="34">
        <f>$C$30*'E Balans VL '!Y14/100/3.6*1000000</f>
        <v>781.76281786085633</v>
      </c>
      <c r="O10" s="34"/>
      <c r="P10" s="34"/>
      <c r="R10" s="33"/>
    </row>
    <row r="11" spans="1:18">
      <c r="A11" s="33" t="s">
        <v>55</v>
      </c>
      <c r="B11" s="38">
        <f t="shared" si="0"/>
        <v>83.254442312864597</v>
      </c>
      <c r="C11" s="34"/>
      <c r="D11" s="38">
        <f>IF(ISERROR(TER_onderwijs_gas_kWh/1000),0,TER_onderwijs_gas_kWh/1000)*0.902</f>
        <v>273.08191603152187</v>
      </c>
      <c r="E11" s="34">
        <f>$C$31*'E Balans VL '!I11/100/3.6*1000000</f>
        <v>5.1314525387966062E-2</v>
      </c>
      <c r="F11" s="34">
        <f>$C$31*('E Balans VL '!L11+'E Balans VL '!N11)/100/3.6*1000000</f>
        <v>32.187515676315698</v>
      </c>
      <c r="G11" s="35"/>
      <c r="H11" s="34"/>
      <c r="I11" s="34"/>
      <c r="J11" s="34">
        <f>$C$31*('E Balans VL '!D11+'E Balans VL '!E11)/100/3.6*1000000</f>
        <v>0</v>
      </c>
      <c r="K11" s="34"/>
      <c r="L11" s="34"/>
      <c r="M11" s="34"/>
      <c r="N11" s="34">
        <f>$C$31*'E Balans VL '!Y11/100/3.6*1000000</f>
        <v>0.27080885979769298</v>
      </c>
      <c r="O11" s="34"/>
      <c r="P11" s="34"/>
      <c r="R11" s="33"/>
    </row>
    <row r="12" spans="1:18">
      <c r="A12" s="33" t="s">
        <v>260</v>
      </c>
      <c r="B12" s="38">
        <f t="shared" si="0"/>
        <v>10704.7520636716</v>
      </c>
      <c r="C12" s="34"/>
      <c r="D12" s="38">
        <f>IF(ISERROR(TER_rest_gas_kWh/1000),0,TER_rest_gas_kWh/1000)*0.902</f>
        <v>3246.5318485061453</v>
      </c>
      <c r="E12" s="34">
        <f>$C$32*'E Balans VL '!I8/100/3.6*1000000</f>
        <v>92.492704850096331</v>
      </c>
      <c r="F12" s="34">
        <f>$C$32*('E Balans VL '!L8+'E Balans VL '!N8)/100/3.6*1000000</f>
        <v>2132.2513627586404</v>
      </c>
      <c r="G12" s="35"/>
      <c r="H12" s="34"/>
      <c r="I12" s="34"/>
      <c r="J12" s="34">
        <f>$C$32*('E Balans VL '!D8+'E Balans VL '!E8)/100/3.6*1000000</f>
        <v>0</v>
      </c>
      <c r="K12" s="34"/>
      <c r="L12" s="34"/>
      <c r="M12" s="34"/>
      <c r="N12" s="34">
        <f>$C$32*'E Balans VL '!Y8/100/3.6*1000000</f>
        <v>704.08254279928133</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19652.896081996972</v>
      </c>
      <c r="C16" s="22">
        <f t="shared" ca="1" si="1"/>
        <v>0</v>
      </c>
      <c r="D16" s="22">
        <f t="shared" ca="1" si="1"/>
        <v>11300.885639467617</v>
      </c>
      <c r="E16" s="22">
        <f t="shared" si="1"/>
        <v>218.03969710828687</v>
      </c>
      <c r="F16" s="22">
        <f t="shared" ca="1" si="1"/>
        <v>4033.7995018595084</v>
      </c>
      <c r="G16" s="22">
        <f t="shared" si="1"/>
        <v>0</v>
      </c>
      <c r="H16" s="22">
        <f t="shared" si="1"/>
        <v>0</v>
      </c>
      <c r="I16" s="22">
        <f t="shared" si="1"/>
        <v>0</v>
      </c>
      <c r="J16" s="22">
        <f t="shared" si="1"/>
        <v>0</v>
      </c>
      <c r="K16" s="22">
        <f t="shared" si="1"/>
        <v>0</v>
      </c>
      <c r="L16" s="22">
        <f t="shared" ca="1" si="1"/>
        <v>0</v>
      </c>
      <c r="M16" s="22">
        <f t="shared" si="1"/>
        <v>0</v>
      </c>
      <c r="N16" s="22">
        <f t="shared" ca="1" si="1"/>
        <v>1508.8699724996845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0.20617237662605903</v>
      </c>
      <c r="C18" s="26">
        <f ca="1">'EF ele_warmte'!B22</f>
        <v>0.21228540494065357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4051.8842928102795</v>
      </c>
      <c r="C20" s="24">
        <f t="shared" ref="C20:P20" ca="1" si="2">C16*C18</f>
        <v>0</v>
      </c>
      <c r="D20" s="24">
        <f t="shared" ca="1" si="2"/>
        <v>2282.7788991724588</v>
      </c>
      <c r="E20" s="24">
        <f t="shared" si="2"/>
        <v>49.495011243581125</v>
      </c>
      <c r="F20" s="24">
        <f t="shared" ca="1" si="2"/>
        <v>1077.0244669964889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1423.2366725766101</v>
      </c>
      <c r="C26" s="40">
        <f>IF(ISERROR(B26*3.6/1000000/'E Balans VL '!Z12*100),0,B26*3.6/1000000/'E Balans VL '!Z12*100)</f>
        <v>3.0242758645052527E-2</v>
      </c>
      <c r="D26" s="240" t="s">
        <v>707</v>
      </c>
      <c r="F26" s="6"/>
    </row>
    <row r="27" spans="1:18">
      <c r="A27" s="234" t="s">
        <v>53</v>
      </c>
      <c r="B27" s="34">
        <f>IF(ISERROR(TER_horeca_ele_kWh/1000),0,TER_horeca_ele_kWh/1000)</f>
        <v>1719.8473863086901</v>
      </c>
      <c r="C27" s="40">
        <f>IF(ISERROR(B27*3.6/1000000/'E Balans VL '!Z9*100),0,B27*3.6/1000000/'E Balans VL '!Z9*100)</f>
        <v>0.13536528882465673</v>
      </c>
      <c r="D27" s="240" t="s">
        <v>707</v>
      </c>
      <c r="F27" s="6"/>
    </row>
    <row r="28" spans="1:18">
      <c r="A28" s="174" t="s">
        <v>52</v>
      </c>
      <c r="B28" s="34">
        <f>IF(ISERROR(TER_handel_ele_kWh/1000),0,TER_handel_ele_kWh/1000)</f>
        <v>4209.7473261774503</v>
      </c>
      <c r="C28" s="40">
        <f>IF(ISERROR(B28*3.6/1000000/'E Balans VL '!Z13*100),0,B28*3.6/1000000/'E Balans VL '!Z13*100)</f>
        <v>0.11791727557405283</v>
      </c>
      <c r="D28" s="240" t="s">
        <v>707</v>
      </c>
      <c r="F28" s="6"/>
    </row>
    <row r="29" spans="1:18">
      <c r="A29" s="234" t="s">
        <v>51</v>
      </c>
      <c r="B29" s="34">
        <f>IF(ISERROR(TER_gezond_ele_kWh/1000),0,TER_gezond_ele_kWh/1000)</f>
        <v>156.87511832520801</v>
      </c>
      <c r="C29" s="40">
        <f>IF(ISERROR(B29*3.6/1000000/'E Balans VL '!Z10*100),0,B29*3.6/1000000/'E Balans VL '!Z10*100)</f>
        <v>2.0069071346322125E-2</v>
      </c>
      <c r="D29" s="240" t="s">
        <v>707</v>
      </c>
      <c r="F29" s="6"/>
    </row>
    <row r="30" spans="1:18">
      <c r="A30" s="234" t="s">
        <v>50</v>
      </c>
      <c r="B30" s="34">
        <f>IF(ISERROR(TER_ander_ele_kWh/1000),0,TER_ander_ele_kWh/1000)</f>
        <v>1355.1830726245501</v>
      </c>
      <c r="C30" s="40">
        <f>IF(ISERROR(B30*3.6/1000000/'E Balans VL '!Z14*100),0,B30*3.6/1000000/'E Balans VL '!Z14*100)</f>
        <v>0.10135627486026952</v>
      </c>
      <c r="D30" s="240" t="s">
        <v>707</v>
      </c>
      <c r="F30" s="6"/>
    </row>
    <row r="31" spans="1:18">
      <c r="A31" s="234" t="s">
        <v>55</v>
      </c>
      <c r="B31" s="34">
        <f>IF(ISERROR(TER_onderwijs_ele_kWh/1000),0,TER_onderwijs_ele_kWh/1000)</f>
        <v>83.254442312864597</v>
      </c>
      <c r="C31" s="40">
        <f>IF(ISERROR(B31*3.6/1000000/'E Balans VL '!Z11*100),0,B31*3.6/1000000/'E Balans VL '!Z11*100)</f>
        <v>1.7579283336429274E-2</v>
      </c>
      <c r="D31" s="240" t="s">
        <v>707</v>
      </c>
    </row>
    <row r="32" spans="1:18">
      <c r="A32" s="234" t="s">
        <v>260</v>
      </c>
      <c r="B32" s="34">
        <f>IF(ISERROR(TER_rest_ele_kWh/1000),0,TER_rest_ele_kWh/1000)</f>
        <v>10704.7520636716</v>
      </c>
      <c r="C32" s="40">
        <f>IF(ISERROR(B32*3.6/1000000/'E Balans VL '!Z8*100),0,B32*3.6/1000000/'E Balans VL '!Z8*100)</f>
        <v>8.8185020277901704E-2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13037.829404815502</v>
      </c>
      <c r="C5" s="18">
        <f>IF(ISERROR('Eigen informatie GS &amp; warmtenet'!B59),0,'Eigen informatie GS &amp; warmtenet'!B59)</f>
        <v>0</v>
      </c>
      <c r="D5" s="31">
        <f>SUM(D6:D15)</f>
        <v>15588.50882352285</v>
      </c>
      <c r="E5" s="18">
        <f>SUM(E6:E15)</f>
        <v>106.65450154965745</v>
      </c>
      <c r="F5" s="18">
        <f>SUM(F6:F15)</f>
        <v>4540.1691144208598</v>
      </c>
      <c r="G5" s="19"/>
      <c r="H5" s="18"/>
      <c r="I5" s="18"/>
      <c r="J5" s="18">
        <f>SUM(J6:J15)</f>
        <v>51.432028008505164</v>
      </c>
      <c r="K5" s="18"/>
      <c r="L5" s="18"/>
      <c r="M5" s="18"/>
      <c r="N5" s="18">
        <f>SUM(N6:N15)</f>
        <v>535.6788990149762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412.316942235174</v>
      </c>
      <c r="C8" s="34"/>
      <c r="D8" s="38">
        <f>IF( ISERROR(IND_metaal_Gas_kWH/1000),0,IND_metaal_Gas_kWH/1000)*0.902</f>
        <v>0</v>
      </c>
      <c r="E8" s="34">
        <f>C30*'E Balans VL '!I18/100/3.6*1000000</f>
        <v>3.7548960883287967</v>
      </c>
      <c r="F8" s="34">
        <f>C30*'E Balans VL '!L18/100/3.6*1000000+C30*'E Balans VL '!N18/100/3.6*1000000</f>
        <v>54.381473492180255</v>
      </c>
      <c r="G8" s="35"/>
      <c r="H8" s="34"/>
      <c r="I8" s="34"/>
      <c r="J8" s="41">
        <f>C30*'E Balans VL '!D18/100/3.6*1000000+C30*'E Balans VL '!E18/100/3.6*1000000</f>
        <v>6.7613991900139254</v>
      </c>
      <c r="K8" s="34"/>
      <c r="L8" s="34"/>
      <c r="M8" s="34"/>
      <c r="N8" s="34">
        <f>C30*'E Balans VL '!Y18/100/3.6*1000000</f>
        <v>1.4169695379771496</v>
      </c>
      <c r="O8" s="34"/>
      <c r="P8" s="34"/>
      <c r="R8" s="33"/>
    </row>
    <row r="9" spans="1:18">
      <c r="A9" s="6" t="s">
        <v>33</v>
      </c>
      <c r="B9" s="38">
        <f t="shared" si="0"/>
        <v>3398.7643645296798</v>
      </c>
      <c r="C9" s="34"/>
      <c r="D9" s="38">
        <f>IF( ISERROR(IND_andere_gas_kWh/1000),0,IND_andere_gas_kWh/1000)*0.902</f>
        <v>917.81851337255705</v>
      </c>
      <c r="E9" s="34">
        <f>C31*'E Balans VL '!I19/100/3.6*1000000</f>
        <v>19.645365930305626</v>
      </c>
      <c r="F9" s="34">
        <f>C31*'E Balans VL '!L19/100/3.6*1000000+C31*'E Balans VL '!N19/100/3.6*1000000</f>
        <v>2703.8805940529837</v>
      </c>
      <c r="G9" s="35"/>
      <c r="H9" s="34"/>
      <c r="I9" s="34"/>
      <c r="J9" s="41">
        <f>C31*'E Balans VL '!D19/100/3.6*1000000+C31*'E Balans VL '!E19/100/3.6*1000000</f>
        <v>0.32148535647923798</v>
      </c>
      <c r="K9" s="34"/>
      <c r="L9" s="34"/>
      <c r="M9" s="34"/>
      <c r="N9" s="34">
        <f>C31*'E Balans VL '!Y19/100/3.6*1000000</f>
        <v>257.50783515852368</v>
      </c>
      <c r="O9" s="34"/>
      <c r="P9" s="34"/>
      <c r="R9" s="33"/>
    </row>
    <row r="10" spans="1:18">
      <c r="A10" s="6" t="s">
        <v>41</v>
      </c>
      <c r="B10" s="38">
        <f t="shared" si="0"/>
        <v>407.98489085655001</v>
      </c>
      <c r="C10" s="34"/>
      <c r="D10" s="38">
        <f>IF( ISERROR(IND_voed_gas_kWh/1000),0,IND_voed_gas_kWh/1000)*0.902</f>
        <v>596.89438480990282</v>
      </c>
      <c r="E10" s="34">
        <f>C32*'E Balans VL '!I20/100/3.6*1000000</f>
        <v>4.0115588273284821</v>
      </c>
      <c r="F10" s="34">
        <f>C32*'E Balans VL '!L20/100/3.6*1000000+C32*'E Balans VL '!N20/100/3.6*1000000</f>
        <v>45.312047411317373</v>
      </c>
      <c r="G10" s="35"/>
      <c r="H10" s="34"/>
      <c r="I10" s="34"/>
      <c r="J10" s="41">
        <f>C32*'E Balans VL '!D20/100/3.6*1000000+C32*'E Balans VL '!E20/100/3.6*1000000</f>
        <v>1.6080536688613597E-3</v>
      </c>
      <c r="K10" s="34"/>
      <c r="L10" s="34"/>
      <c r="M10" s="34"/>
      <c r="N10" s="34">
        <f>C32*'E Balans VL '!Y20/100/3.6*1000000</f>
        <v>6.0412965519643533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8818.7632071940989</v>
      </c>
      <c r="C15" s="34"/>
      <c r="D15" s="38">
        <f>IF( ISERROR(IND_rest_gas_kWh/1000),0,IND_rest_gas_kWh/1000)*0.902</f>
        <v>14073.79592534039</v>
      </c>
      <c r="E15" s="34">
        <f>C37*'E Balans VL '!I15/100/3.6*1000000</f>
        <v>79.242680703694546</v>
      </c>
      <c r="F15" s="34">
        <f>C37*'E Balans VL '!L15/100/3.6*1000000+C37*'E Balans VL '!N15/100/3.6*1000000</f>
        <v>1736.5949994643784</v>
      </c>
      <c r="G15" s="35"/>
      <c r="H15" s="34"/>
      <c r="I15" s="34"/>
      <c r="J15" s="41">
        <f>C37*'E Balans VL '!D15/100/3.6*1000000+C37*'E Balans VL '!E15/100/3.6*1000000</f>
        <v>44.347535408343141</v>
      </c>
      <c r="K15" s="34"/>
      <c r="L15" s="34"/>
      <c r="M15" s="34"/>
      <c r="N15" s="34">
        <f>C37*'E Balans VL '!Y15/100/3.6*1000000</f>
        <v>270.71279776651107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13037.829404815502</v>
      </c>
      <c r="C18" s="22">
        <f>C5+C16</f>
        <v>0</v>
      </c>
      <c r="D18" s="22">
        <f>MAX((D5+D16),0)</f>
        <v>15588.50882352285</v>
      </c>
      <c r="E18" s="22">
        <f>MAX((E5+E16),0)</f>
        <v>106.65450154965745</v>
      </c>
      <c r="F18" s="22">
        <f>MAX((F5+F16),0)</f>
        <v>4540.1691144208598</v>
      </c>
      <c r="G18" s="22"/>
      <c r="H18" s="22"/>
      <c r="I18" s="22"/>
      <c r="J18" s="22">
        <f>MAX((J5+J16),0)</f>
        <v>51.432028008505164</v>
      </c>
      <c r="K18" s="22"/>
      <c r="L18" s="22">
        <f>MAX((L5+L16),0)</f>
        <v>0</v>
      </c>
      <c r="M18" s="22"/>
      <c r="N18" s="22">
        <f>MAX((N5+N16),0)</f>
        <v>535.6788990149762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0.20617237662605903</v>
      </c>
      <c r="C20" s="26">
        <f ca="1">'EF ele_warmte'!B22</f>
        <v>0.21228540494065357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2688.0402744359289</v>
      </c>
      <c r="C22" s="24">
        <f ca="1">C18*C20</f>
        <v>0</v>
      </c>
      <c r="D22" s="24">
        <f>D18*D20</f>
        <v>3148.8787823516159</v>
      </c>
      <c r="E22" s="24">
        <f>E18*E20</f>
        <v>24.210571851772244</v>
      </c>
      <c r="F22" s="24">
        <f>F18*F20</f>
        <v>1212.2251535503697</v>
      </c>
      <c r="G22" s="24"/>
      <c r="H22" s="24"/>
      <c r="I22" s="24"/>
      <c r="J22" s="24">
        <f>J18*J20</f>
        <v>18.206937915010826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412.316942235174</v>
      </c>
      <c r="C30" s="40">
        <f>IF(ISERROR(B30*3.6/1000000/'E Balans VL '!Z18*100),0,B30*3.6/1000000/'E Balans VL '!Z18*100)</f>
        <v>2.2942680695650249E-2</v>
      </c>
      <c r="D30" s="240" t="s">
        <v>707</v>
      </c>
    </row>
    <row r="31" spans="1:18">
      <c r="A31" s="6" t="s">
        <v>33</v>
      </c>
      <c r="B31" s="38">
        <f>IF( ISERROR(IND_ander_ele_kWh/1000),0,IND_ander_ele_kWh/1000)</f>
        <v>3398.7643645296798</v>
      </c>
      <c r="C31" s="40">
        <f>IF(ISERROR(B31*3.6/1000000/'E Balans VL '!Z19*100),0,B31*3.6/1000000/'E Balans VL '!Z19*100)</f>
        <v>0.15799962912290197</v>
      </c>
      <c r="D31" s="240" t="s">
        <v>707</v>
      </c>
    </row>
    <row r="32" spans="1:18">
      <c r="A32" s="174" t="s">
        <v>41</v>
      </c>
      <c r="B32" s="38">
        <f>IF( ISERROR(IND_voed_ele_kWh/1000),0,IND_voed_ele_kWh/1000)</f>
        <v>407.98489085655001</v>
      </c>
      <c r="C32" s="40">
        <f>IF(ISERROR(B32*3.6/1000000/'E Balans VL '!Z20*100),0,B32*3.6/1000000/'E Balans VL '!Z20*100)</f>
        <v>1.4421441931396876E-2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8818.7632071940989</v>
      </c>
      <c r="C37" s="40">
        <f>IF(ISERROR(B37*3.6/1000000/'E Balans VL '!Z15*100),0,B37*3.6/1000000/'E Balans VL '!Z15*100)</f>
        <v>6.6594689497492685E-2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5600.1332401551881</v>
      </c>
      <c r="C5" s="18">
        <f>'Eigen informatie GS &amp; warmtenet'!B60</f>
        <v>0</v>
      </c>
      <c r="D5" s="31">
        <f>IF(ISERROR(SUM(LB_lb_gas_kWh,LB_rest_gas_kWh,onbekend_gas_kWh)/1000),0,SUM(LB_lb_gas_kWh,LB_rest_gas_kWh,onbekend_gas_kWh)/1000)*0.902</f>
        <v>260834.16028025839</v>
      </c>
      <c r="E5" s="18">
        <f>B17*'E Balans VL '!I25/3.6*1000000/100</f>
        <v>52.757007334616958</v>
      </c>
      <c r="F5" s="18">
        <f>B17*('E Balans VL '!L25/3.6*1000000+'E Balans VL '!N25/3.6*1000000)/100</f>
        <v>18275.093283627408</v>
      </c>
      <c r="G5" s="19"/>
      <c r="H5" s="18"/>
      <c r="I5" s="18"/>
      <c r="J5" s="18">
        <f>('E Balans VL '!D25+'E Balans VL '!E25)/3.6*1000000*landbouw!B17/100</f>
        <v>692.76372085004448</v>
      </c>
      <c r="K5" s="18"/>
      <c r="L5" s="18">
        <f>L6*(-1)</f>
        <v>0</v>
      </c>
      <c r="M5" s="18"/>
      <c r="N5" s="18">
        <f>N6*(-1)</f>
        <v>37474.714285714283</v>
      </c>
      <c r="O5" s="18"/>
      <c r="P5" s="18"/>
      <c r="R5" s="33"/>
    </row>
    <row r="6" spans="1:18">
      <c r="A6" s="17" t="s">
        <v>502</v>
      </c>
      <c r="B6" s="18" t="s">
        <v>211</v>
      </c>
      <c r="C6" s="18">
        <f>'lokale energieproductie'!O91+'lokale energieproductie'!O60</f>
        <v>175575.21428571429</v>
      </c>
      <c r="D6" s="312">
        <f>('lokale energieproductie'!P60+'lokale energieproductie'!P91)*(-1)</f>
        <v>-313675.71428571432</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-37474.714285714283</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5600.1332401551881</v>
      </c>
      <c r="C8" s="22">
        <f>C5+C6</f>
        <v>175575.21428571429</v>
      </c>
      <c r="D8" s="22">
        <f>MAX((D5+D6),0)</f>
        <v>0</v>
      </c>
      <c r="E8" s="22">
        <f>MAX((E5+E6),0)</f>
        <v>52.757007334616958</v>
      </c>
      <c r="F8" s="22">
        <f>MAX((F5+F6),0)</f>
        <v>18275.093283627408</v>
      </c>
      <c r="G8" s="22"/>
      <c r="H8" s="22"/>
      <c r="I8" s="22"/>
      <c r="J8" s="22">
        <f>MAX((J5+J6),0)</f>
        <v>692.76372085004448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0.20617237662605903</v>
      </c>
      <c r="C10" s="32">
        <f ca="1">'EF ele_warmte'!B22</f>
        <v>0.21228540494065357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1154.5927795453877</v>
      </c>
      <c r="C12" s="24">
        <f ca="1">C8*C10</f>
        <v>37272.055462184879</v>
      </c>
      <c r="D12" s="24">
        <f>D8*D10</f>
        <v>0</v>
      </c>
      <c r="E12" s="24">
        <f>E8*E10</f>
        <v>11.975840664958049</v>
      </c>
      <c r="F12" s="24">
        <f>F8*F10</f>
        <v>4879.4499067285178</v>
      </c>
      <c r="G12" s="24"/>
      <c r="H12" s="24"/>
      <c r="I12" s="24"/>
      <c r="J12" s="24">
        <f>J8*J10</f>
        <v>245.23835718091573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0.75816855344847156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665.44291836122295</v>
      </c>
      <c r="C26" s="250">
        <f>B26*'GWP N2O_CH4'!B5</f>
        <v>13974.301285585681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373.4163904210638</v>
      </c>
      <c r="C27" s="250">
        <f>B27*'GWP N2O_CH4'!B5</f>
        <v>7841.7441988423398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10.915769278588961</v>
      </c>
      <c r="C28" s="250">
        <f>B28*'GWP N2O_CH4'!B4</f>
        <v>3383.8884763625779</v>
      </c>
      <c r="D28" s="51"/>
    </row>
    <row r="29" spans="1:4">
      <c r="A29" s="42" t="s">
        <v>277</v>
      </c>
      <c r="B29" s="250">
        <f>B34*'ha_N2O bodem landbouw'!B4</f>
        <v>15.575390348092679</v>
      </c>
      <c r="C29" s="250">
        <f>B29*'GWP N2O_CH4'!B4</f>
        <v>4828.3710079087305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4.2048650765407541E-3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4.2552307007723648E-6</v>
      </c>
      <c r="C5" s="447" t="s">
        <v>211</v>
      </c>
      <c r="D5" s="432">
        <f>SUM(D6:D11)</f>
        <v>1.1701386941179913E-5</v>
      </c>
      <c r="E5" s="432">
        <f>SUM(E6:E11)</f>
        <v>6.7910711501879589E-4</v>
      </c>
      <c r="F5" s="445" t="s">
        <v>211</v>
      </c>
      <c r="G5" s="432">
        <f>SUM(G6:G11)</f>
        <v>0.15184747156558609</v>
      </c>
      <c r="H5" s="432">
        <f>SUM(H6:H11)</f>
        <v>2.6017593690563973E-2</v>
      </c>
      <c r="I5" s="447" t="s">
        <v>211</v>
      </c>
      <c r="J5" s="447" t="s">
        <v>211</v>
      </c>
      <c r="K5" s="447" t="s">
        <v>211</v>
      </c>
      <c r="L5" s="447" t="s">
        <v>211</v>
      </c>
      <c r="M5" s="432">
        <f>SUM(M6:M11)</f>
        <v>7.9519507282345501E-3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3.5797339569785028E-6</v>
      </c>
      <c r="C6" s="433"/>
      <c r="D6" s="433">
        <f>vkm_2011_GW_PW*SUMIFS(TableVerdeelsleutelVkm[CNG],TableVerdeelsleutelVkm[Voertuigtype],"Lichte voertuigen")*SUMIFS(TableECFTransport[EnergieConsumptieFactor (PJ per km)],TableECFTransport[Index],CONCATENATE($A6,"_CNG_CNG"))</f>
        <v>8.741770273127137E-6</v>
      </c>
      <c r="E6" s="435">
        <f>vkm_2011_GW_PW*SUMIFS(TableVerdeelsleutelVkm[LPG],TableVerdeelsleutelVkm[Voertuigtype],"Lichte voertuigen")*SUMIFS(TableECFTransport[EnergieConsumptieFactor (PJ per km)],TableECFTransport[Index],CONCATENATE($A6,"_LPG_LPG"))</f>
        <v>5.1816696553711784E-4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7.4907130313254272E-2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1.9631006813114377E-2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4.2335918831767228E-3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5.4060101696371432E-2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2.1811143408275454E-5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2.4083608044949984E-3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6.7549674379386212E-7</v>
      </c>
      <c r="C8" s="433"/>
      <c r="D8" s="435">
        <f>vkm_2011_NGW_PW*SUMIFS(TableVerdeelsleutelVkm[CNG],TableVerdeelsleutelVkm[Voertuigtype],"Lichte voertuigen")*SUMIFS(TableECFTransport[EnergieConsumptieFactor (PJ per km)],TableECFTransport[Index],CONCATENATE($A8,"_CNG_CNG"))</f>
        <v>2.9596166680527764E-6</v>
      </c>
      <c r="E8" s="435">
        <f>vkm_2011_NGW_PW*SUMIFS(TableVerdeelsleutelVkm[LPG],TableVerdeelsleutelVkm[Voertuigtype],"Lichte voertuigen")*SUMIFS(TableECFTransport[EnergieConsumptieFactor (PJ per km)],TableECFTransport[Index],CONCATENATE($A8,"_LPG_LPG"))</f>
        <v>1.6094014948167803E-4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2.1978843573718293E-2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6.3644590810890715E-3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1.2698432792858892E-3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9.0139598224207938E-4</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3.1665295224713852E-7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4.0154761276940042E-5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1.1820085279923236</v>
      </c>
      <c r="C14" s="22"/>
      <c r="D14" s="22">
        <f t="shared" ref="D14:M14" si="0">((D5)*10^9/3600)+D12</f>
        <v>3.2503852614388649</v>
      </c>
      <c r="E14" s="22">
        <f t="shared" si="0"/>
        <v>188.64086528299887</v>
      </c>
      <c r="F14" s="22"/>
      <c r="G14" s="22">
        <f t="shared" si="0"/>
        <v>42179.853212662805</v>
      </c>
      <c r="H14" s="22">
        <f t="shared" si="0"/>
        <v>7227.1093584899927</v>
      </c>
      <c r="I14" s="22"/>
      <c r="J14" s="22"/>
      <c r="K14" s="22"/>
      <c r="L14" s="22"/>
      <c r="M14" s="22">
        <f t="shared" si="0"/>
        <v>2208.875202287375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0.20617237662605903</v>
      </c>
      <c r="C16" s="57">
        <f ca="1">'EF ele_warmte'!B22</f>
        <v>0.21228540494065357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0.24369750740844698</v>
      </c>
      <c r="C18" s="24"/>
      <c r="D18" s="24">
        <f t="shared" ref="D18:M18" si="1">D14*D16</f>
        <v>0.65657782281065069</v>
      </c>
      <c r="E18" s="24">
        <f t="shared" si="1"/>
        <v>42.821476419240746</v>
      </c>
      <c r="F18" s="24"/>
      <c r="G18" s="24">
        <f t="shared" si="1"/>
        <v>11262.020807780969</v>
      </c>
      <c r="H18" s="24">
        <f t="shared" si="1"/>
        <v>1799.5502302640082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5.2771201282064695E-3</v>
      </c>
      <c r="H50" s="323">
        <f t="shared" si="2"/>
        <v>0</v>
      </c>
      <c r="I50" s="323">
        <f t="shared" si="2"/>
        <v>0</v>
      </c>
      <c r="J50" s="323">
        <f t="shared" si="2"/>
        <v>0</v>
      </c>
      <c r="K50" s="323">
        <f t="shared" si="2"/>
        <v>0</v>
      </c>
      <c r="L50" s="323">
        <f t="shared" si="2"/>
        <v>0</v>
      </c>
      <c r="M50" s="323">
        <f t="shared" si="2"/>
        <v>2.3172704998371445E-4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5.2771201282064695E-3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2.3172704998371445E-4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1465.8667022795748</v>
      </c>
      <c r="H54" s="22">
        <f t="shared" si="3"/>
        <v>0</v>
      </c>
      <c r="I54" s="22">
        <f t="shared" si="3"/>
        <v>0</v>
      </c>
      <c r="J54" s="22">
        <f t="shared" si="3"/>
        <v>0</v>
      </c>
      <c r="K54" s="22">
        <f t="shared" si="3"/>
        <v>0</v>
      </c>
      <c r="L54" s="22">
        <f t="shared" si="3"/>
        <v>0</v>
      </c>
      <c r="M54" s="22">
        <f t="shared" si="3"/>
        <v>64.368624995476239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0.20617237662605903</v>
      </c>
      <c r="C56" s="57">
        <f ca="1">'EF ele_warmte'!B22</f>
        <v>0.21228540494065357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391.38640950864652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3644.0739137007222</v>
      </c>
      <c r="C6" s="1190"/>
      <c r="D6" s="1193"/>
      <c r="E6" s="1193"/>
      <c r="F6" s="1196"/>
      <c r="G6" s="1199"/>
      <c r="H6" s="1187"/>
      <c r="I6" s="1193"/>
      <c r="J6" s="1193"/>
      <c r="K6" s="1193"/>
      <c r="L6" s="1223"/>
      <c r="M6" s="560"/>
      <c r="N6" s="1235"/>
      <c r="O6" s="1236"/>
      <c r="Q6" s="558"/>
      <c r="R6" s="1220"/>
      <c r="S6" s="1220"/>
    </row>
    <row r="7" spans="1:19" s="548" customFormat="1">
      <c r="A7" s="561" t="s">
        <v>252</v>
      </c>
      <c r="B7" s="562">
        <f>N57</f>
        <v>122902.65</v>
      </c>
      <c r="C7" s="563">
        <f>B100</f>
        <v>129160.58823529413</v>
      </c>
      <c r="D7" s="564"/>
      <c r="E7" s="564">
        <f>E100</f>
        <v>0</v>
      </c>
      <c r="F7" s="565"/>
      <c r="G7" s="566"/>
      <c r="H7" s="564">
        <f>I100</f>
        <v>0</v>
      </c>
      <c r="I7" s="564">
        <f>G100+F100</f>
        <v>0</v>
      </c>
      <c r="J7" s="564">
        <f>H100+D100+C100</f>
        <v>15430.764705882351</v>
      </c>
      <c r="K7" s="564"/>
      <c r="L7" s="567"/>
      <c r="M7" s="568">
        <f>C7*$C$11+D7*$D$11+E7*$E$11+F7*$F$11+G7*$G$11+H7*$H$11+I7*$I$11+J7*$J$11</f>
        <v>26090.438823529414</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126546.72391370071</v>
      </c>
      <c r="C9" s="579">
        <f t="shared" ref="C9:L9" si="0">SUM(C7:C8)</f>
        <v>129160.58823529413</v>
      </c>
      <c r="D9" s="579">
        <f t="shared" si="0"/>
        <v>0</v>
      </c>
      <c r="E9" s="579">
        <f t="shared" si="0"/>
        <v>0</v>
      </c>
      <c r="F9" s="579">
        <f t="shared" si="0"/>
        <v>0</v>
      </c>
      <c r="G9" s="579">
        <f t="shared" si="0"/>
        <v>0</v>
      </c>
      <c r="H9" s="579">
        <f t="shared" si="0"/>
        <v>0</v>
      </c>
      <c r="I9" s="579">
        <f t="shared" si="0"/>
        <v>0</v>
      </c>
      <c r="J9" s="579">
        <f t="shared" si="0"/>
        <v>15430.764705882351</v>
      </c>
      <c r="K9" s="579">
        <f t="shared" si="0"/>
        <v>0</v>
      </c>
      <c r="L9" s="579">
        <f t="shared" si="0"/>
        <v>0</v>
      </c>
      <c r="M9" s="580">
        <f>SUM(M4:M8)</f>
        <v>26090.438823529414</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175575.21428571429</v>
      </c>
      <c r="C16" s="595">
        <f>B101</f>
        <v>184515.12605042019</v>
      </c>
      <c r="D16" s="596"/>
      <c r="E16" s="596">
        <f>E101</f>
        <v>0</v>
      </c>
      <c r="F16" s="597"/>
      <c r="G16" s="598"/>
      <c r="H16" s="595">
        <f>I101</f>
        <v>0</v>
      </c>
      <c r="I16" s="596">
        <f>G101+F101</f>
        <v>0</v>
      </c>
      <c r="J16" s="596">
        <f>H101+D101+C101</f>
        <v>22043.949579831933</v>
      </c>
      <c r="K16" s="596"/>
      <c r="L16" s="599"/>
      <c r="M16" s="600">
        <f>C16*$C$21+E16*$E$21+H16*$H$21+I16*$I$21+J16*$J$21+D16*$D$21+F16*$F$21+G16*$G$21+K16*$K$21+L16*$L$21</f>
        <v>37272.055462184879</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175575.21428571429</v>
      </c>
      <c r="C19" s="578">
        <f>SUM(C16:C18)</f>
        <v>184515.12605042019</v>
      </c>
      <c r="D19" s="578">
        <f t="shared" ref="D19:M19" si="1">SUM(D16:D18)</f>
        <v>0</v>
      </c>
      <c r="E19" s="578">
        <f t="shared" si="1"/>
        <v>0</v>
      </c>
      <c r="F19" s="578">
        <f t="shared" si="1"/>
        <v>0</v>
      </c>
      <c r="G19" s="578">
        <f t="shared" si="1"/>
        <v>0</v>
      </c>
      <c r="H19" s="578">
        <f t="shared" si="1"/>
        <v>0</v>
      </c>
      <c r="I19" s="578">
        <f t="shared" si="1"/>
        <v>0</v>
      </c>
      <c r="J19" s="578">
        <f t="shared" si="1"/>
        <v>22043.949579831933</v>
      </c>
      <c r="K19" s="578">
        <f t="shared" si="1"/>
        <v>0</v>
      </c>
      <c r="L19" s="578">
        <f t="shared" si="1"/>
        <v>0</v>
      </c>
      <c r="M19" s="605">
        <f t="shared" si="1"/>
        <v>37272.055462184879</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13037</v>
      </c>
      <c r="C27" s="840">
        <v>2310</v>
      </c>
      <c r="D27" s="657" t="s">
        <v>914</v>
      </c>
      <c r="E27" s="656" t="s">
        <v>915</v>
      </c>
      <c r="F27" s="656" t="s">
        <v>916</v>
      </c>
      <c r="G27" s="656" t="s">
        <v>917</v>
      </c>
      <c r="H27" s="656" t="s">
        <v>918</v>
      </c>
      <c r="I27" s="656" t="s">
        <v>919</v>
      </c>
      <c r="J27" s="839">
        <v>39240</v>
      </c>
      <c r="K27" s="839">
        <v>38534</v>
      </c>
      <c r="L27" s="656" t="s">
        <v>920</v>
      </c>
      <c r="M27" s="656">
        <v>5145</v>
      </c>
      <c r="N27" s="656">
        <v>23152.499999999996</v>
      </c>
      <c r="O27" s="656">
        <v>33074.999999999993</v>
      </c>
      <c r="P27" s="656">
        <v>66150</v>
      </c>
      <c r="Q27" s="656">
        <v>0</v>
      </c>
      <c r="R27" s="656">
        <v>0</v>
      </c>
      <c r="S27" s="656">
        <v>0</v>
      </c>
      <c r="T27" s="656">
        <v>0</v>
      </c>
      <c r="U27" s="656">
        <v>0</v>
      </c>
      <c r="V27" s="656">
        <v>0</v>
      </c>
      <c r="W27" s="656"/>
      <c r="X27" s="656">
        <v>10</v>
      </c>
      <c r="Y27" s="656" t="s">
        <v>112</v>
      </c>
      <c r="Z27" s="658" t="s">
        <v>112</v>
      </c>
    </row>
    <row r="28" spans="1:26" s="610" customFormat="1" ht="25.5">
      <c r="A28" s="609"/>
      <c r="B28" s="840">
        <v>13037</v>
      </c>
      <c r="C28" s="840">
        <v>2310</v>
      </c>
      <c r="D28" s="657" t="s">
        <v>921</v>
      </c>
      <c r="E28" s="656" t="s">
        <v>922</v>
      </c>
      <c r="F28" s="656" t="s">
        <v>923</v>
      </c>
      <c r="G28" s="656" t="s">
        <v>917</v>
      </c>
      <c r="H28" s="656" t="s">
        <v>918</v>
      </c>
      <c r="I28" s="656" t="s">
        <v>922</v>
      </c>
      <c r="J28" s="839">
        <v>39682</v>
      </c>
      <c r="K28" s="839">
        <v>39728</v>
      </c>
      <c r="L28" s="656" t="s">
        <v>920</v>
      </c>
      <c r="M28" s="656">
        <v>2425</v>
      </c>
      <c r="N28" s="656">
        <v>10912.5</v>
      </c>
      <c r="O28" s="656">
        <v>15589.285714285714</v>
      </c>
      <c r="P28" s="656">
        <v>31178.571428571431</v>
      </c>
      <c r="Q28" s="656">
        <v>0</v>
      </c>
      <c r="R28" s="656">
        <v>0</v>
      </c>
      <c r="S28" s="656">
        <v>0</v>
      </c>
      <c r="T28" s="656">
        <v>0</v>
      </c>
      <c r="U28" s="656">
        <v>0</v>
      </c>
      <c r="V28" s="656">
        <v>0</v>
      </c>
      <c r="W28" s="656"/>
      <c r="X28" s="656">
        <v>10</v>
      </c>
      <c r="Y28" s="656" t="s">
        <v>112</v>
      </c>
      <c r="Z28" s="658" t="s">
        <v>112</v>
      </c>
    </row>
    <row r="29" spans="1:26" s="610" customFormat="1" ht="25.5">
      <c r="A29" s="609"/>
      <c r="B29" s="840">
        <v>13037</v>
      </c>
      <c r="C29" s="840">
        <v>2310</v>
      </c>
      <c r="D29" s="657" t="s">
        <v>924</v>
      </c>
      <c r="E29" s="656" t="s">
        <v>925</v>
      </c>
      <c r="F29" s="656" t="s">
        <v>926</v>
      </c>
      <c r="G29" s="656" t="s">
        <v>917</v>
      </c>
      <c r="H29" s="656" t="s">
        <v>918</v>
      </c>
      <c r="I29" s="656" t="s">
        <v>927</v>
      </c>
      <c r="J29" s="839">
        <v>39710</v>
      </c>
      <c r="K29" s="839">
        <v>39749</v>
      </c>
      <c r="L29" s="656" t="s">
        <v>920</v>
      </c>
      <c r="M29" s="656">
        <v>2905</v>
      </c>
      <c r="N29" s="656">
        <v>13072.5</v>
      </c>
      <c r="O29" s="656">
        <v>18675</v>
      </c>
      <c r="P29" s="656">
        <v>0</v>
      </c>
      <c r="Q29" s="656">
        <v>37350</v>
      </c>
      <c r="R29" s="656">
        <v>0</v>
      </c>
      <c r="S29" s="656">
        <v>0</v>
      </c>
      <c r="T29" s="656">
        <v>0</v>
      </c>
      <c r="U29" s="656">
        <v>0</v>
      </c>
      <c r="V29" s="656">
        <v>0</v>
      </c>
      <c r="W29" s="656"/>
      <c r="X29" s="656">
        <v>10</v>
      </c>
      <c r="Y29" s="656" t="s">
        <v>112</v>
      </c>
      <c r="Z29" s="658" t="s">
        <v>112</v>
      </c>
    </row>
    <row r="30" spans="1:26" s="610" customFormat="1" ht="25.5">
      <c r="A30" s="609"/>
      <c r="B30" s="840">
        <v>13037</v>
      </c>
      <c r="C30" s="840">
        <v>2310</v>
      </c>
      <c r="D30" s="657" t="s">
        <v>928</v>
      </c>
      <c r="E30" s="656" t="s">
        <v>929</v>
      </c>
      <c r="F30" s="656" t="s">
        <v>930</v>
      </c>
      <c r="G30" s="656" t="s">
        <v>917</v>
      </c>
      <c r="H30" s="656" t="s">
        <v>918</v>
      </c>
      <c r="I30" s="656" t="s">
        <v>929</v>
      </c>
      <c r="J30" s="839">
        <v>39717</v>
      </c>
      <c r="K30" s="839">
        <v>39722</v>
      </c>
      <c r="L30" s="656" t="s">
        <v>920</v>
      </c>
      <c r="M30" s="656">
        <v>1400</v>
      </c>
      <c r="N30" s="656">
        <v>6300</v>
      </c>
      <c r="O30" s="656">
        <v>9000</v>
      </c>
      <c r="P30" s="656">
        <v>18000</v>
      </c>
      <c r="Q30" s="656">
        <v>0</v>
      </c>
      <c r="R30" s="656">
        <v>0</v>
      </c>
      <c r="S30" s="656">
        <v>0</v>
      </c>
      <c r="T30" s="656">
        <v>0</v>
      </c>
      <c r="U30" s="656">
        <v>0</v>
      </c>
      <c r="V30" s="656">
        <v>0</v>
      </c>
      <c r="W30" s="656"/>
      <c r="X30" s="656">
        <v>10</v>
      </c>
      <c r="Y30" s="656" t="s">
        <v>112</v>
      </c>
      <c r="Z30" s="658" t="s">
        <v>112</v>
      </c>
    </row>
    <row r="31" spans="1:26" s="610" customFormat="1" ht="25.5">
      <c r="A31" s="609"/>
      <c r="B31" s="840">
        <v>13037</v>
      </c>
      <c r="C31" s="840">
        <v>2310</v>
      </c>
      <c r="D31" s="657" t="s">
        <v>931</v>
      </c>
      <c r="E31" s="656" t="s">
        <v>932</v>
      </c>
      <c r="F31" s="656" t="s">
        <v>933</v>
      </c>
      <c r="G31" s="656" t="s">
        <v>917</v>
      </c>
      <c r="H31" s="656" t="s">
        <v>918</v>
      </c>
      <c r="I31" s="656" t="s">
        <v>932</v>
      </c>
      <c r="J31" s="839">
        <v>39791</v>
      </c>
      <c r="K31" s="839">
        <v>39819</v>
      </c>
      <c r="L31" s="656" t="s">
        <v>920</v>
      </c>
      <c r="M31" s="656">
        <v>4028</v>
      </c>
      <c r="N31" s="656">
        <v>18125.999999999996</v>
      </c>
      <c r="O31" s="656">
        <v>25894.28571428571</v>
      </c>
      <c r="P31" s="656">
        <v>51788.57142857142</v>
      </c>
      <c r="Q31" s="656">
        <v>0</v>
      </c>
      <c r="R31" s="656">
        <v>0</v>
      </c>
      <c r="S31" s="656">
        <v>0</v>
      </c>
      <c r="T31" s="656">
        <v>0</v>
      </c>
      <c r="U31" s="656">
        <v>0</v>
      </c>
      <c r="V31" s="656">
        <v>0</v>
      </c>
      <c r="W31" s="656"/>
      <c r="X31" s="656">
        <v>10</v>
      </c>
      <c r="Y31" s="656" t="s">
        <v>112</v>
      </c>
      <c r="Z31" s="658" t="s">
        <v>112</v>
      </c>
    </row>
    <row r="32" spans="1:26" s="610" customFormat="1" ht="25.5">
      <c r="A32" s="609"/>
      <c r="B32" s="840">
        <v>13037</v>
      </c>
      <c r="C32" s="840">
        <v>2310</v>
      </c>
      <c r="D32" s="657" t="s">
        <v>934</v>
      </c>
      <c r="E32" s="656" t="s">
        <v>935</v>
      </c>
      <c r="F32" s="656" t="s">
        <v>936</v>
      </c>
      <c r="G32" s="656" t="s">
        <v>917</v>
      </c>
      <c r="H32" s="656" t="s">
        <v>918</v>
      </c>
      <c r="I32" s="656" t="s">
        <v>935</v>
      </c>
      <c r="J32" s="839">
        <v>39826</v>
      </c>
      <c r="K32" s="839">
        <v>39826</v>
      </c>
      <c r="L32" s="656" t="s">
        <v>920</v>
      </c>
      <c r="M32" s="656">
        <v>2941</v>
      </c>
      <c r="N32" s="656">
        <v>13234.5</v>
      </c>
      <c r="O32" s="656">
        <v>18906.428571428572</v>
      </c>
      <c r="P32" s="656">
        <v>37812.857142857145</v>
      </c>
      <c r="Q32" s="656">
        <v>0</v>
      </c>
      <c r="R32" s="656">
        <v>0</v>
      </c>
      <c r="S32" s="656">
        <v>0</v>
      </c>
      <c r="T32" s="656">
        <v>0</v>
      </c>
      <c r="U32" s="656">
        <v>0</v>
      </c>
      <c r="V32" s="656">
        <v>0</v>
      </c>
      <c r="W32" s="656"/>
      <c r="X32" s="656">
        <v>10</v>
      </c>
      <c r="Y32" s="656" t="s">
        <v>112</v>
      </c>
      <c r="Z32" s="658" t="s">
        <v>112</v>
      </c>
    </row>
    <row r="33" spans="1:26" s="610" customFormat="1" ht="25.5">
      <c r="A33" s="609"/>
      <c r="B33" s="840">
        <v>13037</v>
      </c>
      <c r="C33" s="840">
        <v>2310</v>
      </c>
      <c r="D33" s="657" t="s">
        <v>937</v>
      </c>
      <c r="E33" s="656" t="s">
        <v>938</v>
      </c>
      <c r="F33" s="656" t="s">
        <v>939</v>
      </c>
      <c r="G33" s="656" t="s">
        <v>917</v>
      </c>
      <c r="H33" s="656" t="s">
        <v>918</v>
      </c>
      <c r="I33" s="656" t="s">
        <v>938</v>
      </c>
      <c r="J33" s="839">
        <v>39959</v>
      </c>
      <c r="K33" s="839">
        <v>39959</v>
      </c>
      <c r="L33" s="656" t="s">
        <v>920</v>
      </c>
      <c r="M33" s="656">
        <v>1558</v>
      </c>
      <c r="N33" s="656">
        <v>7011</v>
      </c>
      <c r="O33" s="656">
        <v>10015.714285714286</v>
      </c>
      <c r="P33" s="656">
        <v>20031.428571428572</v>
      </c>
      <c r="Q33" s="656">
        <v>0</v>
      </c>
      <c r="R33" s="656">
        <v>0</v>
      </c>
      <c r="S33" s="656">
        <v>0</v>
      </c>
      <c r="T33" s="656">
        <v>0</v>
      </c>
      <c r="U33" s="656">
        <v>0</v>
      </c>
      <c r="V33" s="656">
        <v>0</v>
      </c>
      <c r="W33" s="656"/>
      <c r="X33" s="656">
        <v>10</v>
      </c>
      <c r="Y33" s="656" t="s">
        <v>112</v>
      </c>
      <c r="Z33" s="658" t="s">
        <v>112</v>
      </c>
    </row>
    <row r="34" spans="1:26" s="610" customFormat="1" ht="25.5">
      <c r="A34" s="609"/>
      <c r="B34" s="840">
        <v>13037</v>
      </c>
      <c r="C34" s="840">
        <v>2310</v>
      </c>
      <c r="D34" s="657" t="s">
        <v>940</v>
      </c>
      <c r="E34" s="656" t="s">
        <v>941</v>
      </c>
      <c r="F34" s="656" t="s">
        <v>942</v>
      </c>
      <c r="G34" s="656" t="s">
        <v>917</v>
      </c>
      <c r="H34" s="656" t="s">
        <v>918</v>
      </c>
      <c r="I34" s="656" t="s">
        <v>941</v>
      </c>
      <c r="J34" s="839">
        <v>40941</v>
      </c>
      <c r="K34" s="839">
        <v>39554</v>
      </c>
      <c r="L34" s="656" t="s">
        <v>920</v>
      </c>
      <c r="M34" s="656">
        <v>6900</v>
      </c>
      <c r="N34" s="656">
        <v>31050</v>
      </c>
      <c r="O34" s="656">
        <v>44357.142857142855</v>
      </c>
      <c r="P34" s="656">
        <v>88714.285714285725</v>
      </c>
      <c r="Q34" s="656">
        <v>0</v>
      </c>
      <c r="R34" s="656">
        <v>0</v>
      </c>
      <c r="S34" s="656">
        <v>0</v>
      </c>
      <c r="T34" s="656">
        <v>0</v>
      </c>
      <c r="U34" s="656">
        <v>0</v>
      </c>
      <c r="V34" s="656">
        <v>0</v>
      </c>
      <c r="W34" s="656"/>
      <c r="X34" s="656">
        <v>10</v>
      </c>
      <c r="Y34" s="656" t="s">
        <v>112</v>
      </c>
      <c r="Z34" s="658" t="s">
        <v>112</v>
      </c>
    </row>
    <row r="35" spans="1:26" s="610" customFormat="1" ht="25.5">
      <c r="A35" s="609"/>
      <c r="B35" s="840">
        <v>13037</v>
      </c>
      <c r="C35" s="840">
        <v>2310</v>
      </c>
      <c r="D35" s="657" t="s">
        <v>943</v>
      </c>
      <c r="E35" s="656" t="s">
        <v>944</v>
      </c>
      <c r="F35" s="656" t="s">
        <v>945</v>
      </c>
      <c r="G35" s="656" t="s">
        <v>917</v>
      </c>
      <c r="H35" s="656" t="s">
        <v>918</v>
      </c>
      <c r="I35" s="656" t="s">
        <v>946</v>
      </c>
      <c r="J35" s="839">
        <v>41172</v>
      </c>
      <c r="K35" s="839">
        <v>41275</v>
      </c>
      <c r="L35" s="656" t="s">
        <v>920</v>
      </c>
      <c r="M35" s="656">
        <v>9.6999999999999993</v>
      </c>
      <c r="N35" s="656">
        <v>43.649999999999991</v>
      </c>
      <c r="O35" s="656">
        <v>62.357142857142847</v>
      </c>
      <c r="P35" s="656">
        <v>0</v>
      </c>
      <c r="Q35" s="656">
        <v>124.71428571428569</v>
      </c>
      <c r="R35" s="656">
        <v>0</v>
      </c>
      <c r="S35" s="656">
        <v>0</v>
      </c>
      <c r="T35" s="656">
        <v>0</v>
      </c>
      <c r="U35" s="656">
        <v>0</v>
      </c>
      <c r="V35" s="656">
        <v>0</v>
      </c>
      <c r="W35" s="656"/>
      <c r="X35" s="656">
        <v>10</v>
      </c>
      <c r="Y35" s="656" t="s">
        <v>112</v>
      </c>
      <c r="Z35" s="658" t="s">
        <v>112</v>
      </c>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27311.7</v>
      </c>
      <c r="N57" s="614">
        <f>SUM(N27:N56)</f>
        <v>122902.65</v>
      </c>
      <c r="O57" s="614">
        <f t="shared" ref="O57:W57" si="2">SUM(O27:O56)</f>
        <v>175575.21428571429</v>
      </c>
      <c r="P57" s="614">
        <f t="shared" si="2"/>
        <v>313675.71428571432</v>
      </c>
      <c r="Q57" s="614">
        <f t="shared" si="2"/>
        <v>37474.714285714283</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27311.7</v>
      </c>
      <c r="N60" s="619">
        <f t="shared" ref="N60:W60" si="4">SUMIF($Z$27:$Z$56,"landbouw",N27:N56)</f>
        <v>122902.65</v>
      </c>
      <c r="O60" s="619">
        <f t="shared" si="4"/>
        <v>175575.21428571429</v>
      </c>
      <c r="P60" s="619">
        <f t="shared" si="4"/>
        <v>313675.71428571432</v>
      </c>
      <c r="Q60" s="619">
        <f t="shared" si="4"/>
        <v>37474.714285714283</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129160.58823529413</v>
      </c>
      <c r="C100" s="648">
        <f t="shared" si="9"/>
        <v>15430.764705882351</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184515.12605042019</v>
      </c>
      <c r="C101" s="651">
        <f t="shared" ref="C101:H101" si="10">$B$97*Q57</f>
        <v>22043.949579831933</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20394.834081996971</v>
      </c>
      <c r="D10" s="703">
        <f ca="1">tertiair!C16</f>
        <v>0</v>
      </c>
      <c r="E10" s="703">
        <f ca="1">tertiair!D16</f>
        <v>11300.885639467617</v>
      </c>
      <c r="F10" s="703">
        <f>tertiair!E16</f>
        <v>218.03969710828687</v>
      </c>
      <c r="G10" s="703">
        <f ca="1">tertiair!F16</f>
        <v>4033.7995018595084</v>
      </c>
      <c r="H10" s="703">
        <f>tertiair!G16</f>
        <v>0</v>
      </c>
      <c r="I10" s="703">
        <f>tertiair!H16</f>
        <v>0</v>
      </c>
      <c r="J10" s="703">
        <f>tertiair!I16</f>
        <v>0</v>
      </c>
      <c r="K10" s="703">
        <f>tertiair!J16</f>
        <v>0</v>
      </c>
      <c r="L10" s="703">
        <f>tertiair!K16</f>
        <v>0</v>
      </c>
      <c r="M10" s="703">
        <f ca="1">tertiair!L16</f>
        <v>0</v>
      </c>
      <c r="N10" s="703">
        <f>tertiair!M16</f>
        <v>0</v>
      </c>
      <c r="O10" s="703">
        <f ca="1">tertiair!N16</f>
        <v>1508.8699724996845</v>
      </c>
      <c r="P10" s="703">
        <f>tertiair!O16</f>
        <v>0</v>
      </c>
      <c r="Q10" s="704">
        <f>tertiair!P16</f>
        <v>0</v>
      </c>
      <c r="R10" s="706">
        <f ca="1">SUM(C10:Q10)</f>
        <v>37456.428892932068</v>
      </c>
      <c r="S10" s="68"/>
    </row>
    <row r="11" spans="1:19" s="458" customFormat="1">
      <c r="A11" s="859" t="s">
        <v>225</v>
      </c>
      <c r="B11" s="864"/>
      <c r="C11" s="703">
        <f>huishoudens!B8</f>
        <v>22860.536963561921</v>
      </c>
      <c r="D11" s="703">
        <f>huishoudens!C8</f>
        <v>0</v>
      </c>
      <c r="E11" s="703">
        <f>huishoudens!D8</f>
        <v>51227.3668833138</v>
      </c>
      <c r="F11" s="703">
        <f>huishoudens!E8</f>
        <v>5350.8859340710396</v>
      </c>
      <c r="G11" s="703">
        <f>huishoudens!F8</f>
        <v>2858.3352451394485</v>
      </c>
      <c r="H11" s="703">
        <f>huishoudens!G8</f>
        <v>0</v>
      </c>
      <c r="I11" s="703">
        <f>huishoudens!H8</f>
        <v>0</v>
      </c>
      <c r="J11" s="703">
        <f>huishoudens!I8</f>
        <v>0</v>
      </c>
      <c r="K11" s="703">
        <f>huishoudens!J8</f>
        <v>321.88159197940251</v>
      </c>
      <c r="L11" s="703">
        <f>huishoudens!K8</f>
        <v>0</v>
      </c>
      <c r="M11" s="703">
        <f>huishoudens!L8</f>
        <v>0</v>
      </c>
      <c r="N11" s="703">
        <f>huishoudens!M8</f>
        <v>0</v>
      </c>
      <c r="O11" s="703">
        <f>huishoudens!N8</f>
        <v>16005.342620601863</v>
      </c>
      <c r="P11" s="703">
        <f>huishoudens!O8</f>
        <v>68.786666666666676</v>
      </c>
      <c r="Q11" s="704">
        <f>huishoudens!P8</f>
        <v>343.2</v>
      </c>
      <c r="R11" s="706">
        <f>SUM(C11:Q11)</f>
        <v>99036.335905334126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13037.829404815502</v>
      </c>
      <c r="D13" s="703">
        <f>industrie!C18</f>
        <v>0</v>
      </c>
      <c r="E13" s="703">
        <f>industrie!D18</f>
        <v>15588.50882352285</v>
      </c>
      <c r="F13" s="703">
        <f>industrie!E18</f>
        <v>106.65450154965745</v>
      </c>
      <c r="G13" s="703">
        <f>industrie!F18</f>
        <v>4540.1691144208598</v>
      </c>
      <c r="H13" s="703">
        <f>industrie!G18</f>
        <v>0</v>
      </c>
      <c r="I13" s="703">
        <f>industrie!H18</f>
        <v>0</v>
      </c>
      <c r="J13" s="703">
        <f>industrie!I18</f>
        <v>0</v>
      </c>
      <c r="K13" s="703">
        <f>industrie!J18</f>
        <v>51.432028008505164</v>
      </c>
      <c r="L13" s="703">
        <f>industrie!K18</f>
        <v>0</v>
      </c>
      <c r="M13" s="703">
        <f>industrie!L18</f>
        <v>0</v>
      </c>
      <c r="N13" s="703">
        <f>industrie!M18</f>
        <v>0</v>
      </c>
      <c r="O13" s="703">
        <f>industrie!N18</f>
        <v>535.6788990149762</v>
      </c>
      <c r="P13" s="703">
        <f>industrie!O18</f>
        <v>0</v>
      </c>
      <c r="Q13" s="704">
        <f>industrie!P18</f>
        <v>0</v>
      </c>
      <c r="R13" s="706">
        <f>SUM(C13:Q13)</f>
        <v>33860.272771332355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56293.200450374388</v>
      </c>
      <c r="D15" s="708">
        <f t="shared" ref="D15:Q15" ca="1" si="0">SUM(D9:D14)</f>
        <v>0</v>
      </c>
      <c r="E15" s="708">
        <f t="shared" ca="1" si="0"/>
        <v>78116.761346304265</v>
      </c>
      <c r="F15" s="708">
        <f t="shared" si="0"/>
        <v>5675.5801327289846</v>
      </c>
      <c r="G15" s="708">
        <f t="shared" ca="1" si="0"/>
        <v>11432.303861419816</v>
      </c>
      <c r="H15" s="708">
        <f t="shared" si="0"/>
        <v>0</v>
      </c>
      <c r="I15" s="708">
        <f t="shared" si="0"/>
        <v>0</v>
      </c>
      <c r="J15" s="708">
        <f t="shared" si="0"/>
        <v>0</v>
      </c>
      <c r="K15" s="708">
        <f t="shared" si="0"/>
        <v>373.31361998790766</v>
      </c>
      <c r="L15" s="708">
        <f t="shared" si="0"/>
        <v>0</v>
      </c>
      <c r="M15" s="708">
        <f t="shared" ca="1" si="0"/>
        <v>0</v>
      </c>
      <c r="N15" s="708">
        <f t="shared" si="0"/>
        <v>0</v>
      </c>
      <c r="O15" s="708">
        <f t="shared" ca="1" si="0"/>
        <v>18049.891492116523</v>
      </c>
      <c r="P15" s="708">
        <f t="shared" si="0"/>
        <v>68.786666666666676</v>
      </c>
      <c r="Q15" s="709">
        <f t="shared" si="0"/>
        <v>343.2</v>
      </c>
      <c r="R15" s="710">
        <f ca="1">SUM(R9:R14)</f>
        <v>170353.03756959856</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1465.8667022795748</v>
      </c>
      <c r="I18" s="703">
        <f>transport!H54</f>
        <v>0</v>
      </c>
      <c r="J18" s="703">
        <f>transport!I54</f>
        <v>0</v>
      </c>
      <c r="K18" s="703">
        <f>transport!J54</f>
        <v>0</v>
      </c>
      <c r="L18" s="703">
        <f>transport!K54</f>
        <v>0</v>
      </c>
      <c r="M18" s="703">
        <f>transport!L54</f>
        <v>0</v>
      </c>
      <c r="N18" s="703">
        <f>transport!M54</f>
        <v>64.368624995476239</v>
      </c>
      <c r="O18" s="703">
        <f>transport!N54</f>
        <v>0</v>
      </c>
      <c r="P18" s="703">
        <f>transport!O54</f>
        <v>0</v>
      </c>
      <c r="Q18" s="704">
        <f>transport!P54</f>
        <v>0</v>
      </c>
      <c r="R18" s="706">
        <f>SUM(C18:Q18)</f>
        <v>1530.2353272750511</v>
      </c>
      <c r="S18" s="68"/>
    </row>
    <row r="19" spans="1:19" s="458" customFormat="1" ht="15" thickBot="1">
      <c r="A19" s="859" t="s">
        <v>307</v>
      </c>
      <c r="B19" s="864"/>
      <c r="C19" s="712">
        <f>transport!B14</f>
        <v>1.1820085279923236</v>
      </c>
      <c r="D19" s="712">
        <f>transport!C14</f>
        <v>0</v>
      </c>
      <c r="E19" s="712">
        <f>transport!D14</f>
        <v>3.2503852614388649</v>
      </c>
      <c r="F19" s="712">
        <f>transport!E14</f>
        <v>188.64086528299887</v>
      </c>
      <c r="G19" s="712">
        <f>transport!F14</f>
        <v>0</v>
      </c>
      <c r="H19" s="712">
        <f>transport!G14</f>
        <v>42179.853212662805</v>
      </c>
      <c r="I19" s="712">
        <f>transport!H14</f>
        <v>7227.1093584899927</v>
      </c>
      <c r="J19" s="712">
        <f>transport!I14</f>
        <v>0</v>
      </c>
      <c r="K19" s="712">
        <f>transport!J14</f>
        <v>0</v>
      </c>
      <c r="L19" s="712">
        <f>transport!K14</f>
        <v>0</v>
      </c>
      <c r="M19" s="712">
        <f>transport!L14</f>
        <v>0</v>
      </c>
      <c r="N19" s="712">
        <f>transport!M14</f>
        <v>2208.875202287375</v>
      </c>
      <c r="O19" s="712">
        <f>transport!N14</f>
        <v>0</v>
      </c>
      <c r="P19" s="712">
        <f>transport!O14</f>
        <v>0</v>
      </c>
      <c r="Q19" s="713">
        <f>transport!P14</f>
        <v>0</v>
      </c>
      <c r="R19" s="714">
        <f>SUM(C19:Q19)</f>
        <v>51808.911032512602</v>
      </c>
      <c r="S19" s="68"/>
    </row>
    <row r="20" spans="1:19" s="458" customFormat="1" ht="15.75" thickBot="1">
      <c r="A20" s="715" t="s">
        <v>230</v>
      </c>
      <c r="B20" s="867"/>
      <c r="C20" s="862">
        <f>SUM(C17:C19)</f>
        <v>1.1820085279923236</v>
      </c>
      <c r="D20" s="716">
        <f t="shared" ref="D20:R20" si="1">SUM(D17:D19)</f>
        <v>0</v>
      </c>
      <c r="E20" s="716">
        <f t="shared" si="1"/>
        <v>3.2503852614388649</v>
      </c>
      <c r="F20" s="716">
        <f t="shared" si="1"/>
        <v>188.64086528299887</v>
      </c>
      <c r="G20" s="716">
        <f t="shared" si="1"/>
        <v>0</v>
      </c>
      <c r="H20" s="716">
        <f t="shared" si="1"/>
        <v>43645.719914942383</v>
      </c>
      <c r="I20" s="716">
        <f t="shared" si="1"/>
        <v>7227.1093584899927</v>
      </c>
      <c r="J20" s="716">
        <f t="shared" si="1"/>
        <v>0</v>
      </c>
      <c r="K20" s="716">
        <f t="shared" si="1"/>
        <v>0</v>
      </c>
      <c r="L20" s="716">
        <f t="shared" si="1"/>
        <v>0</v>
      </c>
      <c r="M20" s="716">
        <f t="shared" si="1"/>
        <v>0</v>
      </c>
      <c r="N20" s="716">
        <f t="shared" si="1"/>
        <v>2273.2438272828513</v>
      </c>
      <c r="O20" s="716">
        <f t="shared" si="1"/>
        <v>0</v>
      </c>
      <c r="P20" s="716">
        <f t="shared" si="1"/>
        <v>0</v>
      </c>
      <c r="Q20" s="717">
        <f t="shared" si="1"/>
        <v>0</v>
      </c>
      <c r="R20" s="718">
        <f t="shared" si="1"/>
        <v>53339.14635978765</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5600.1332401551881</v>
      </c>
      <c r="D22" s="712">
        <f>+landbouw!C8</f>
        <v>175575.21428571429</v>
      </c>
      <c r="E22" s="712">
        <f>+landbouw!D8</f>
        <v>0</v>
      </c>
      <c r="F22" s="712">
        <f>+landbouw!E8</f>
        <v>52.757007334616958</v>
      </c>
      <c r="G22" s="712">
        <f>+landbouw!F8</f>
        <v>18275.093283627408</v>
      </c>
      <c r="H22" s="712">
        <f>+landbouw!G8</f>
        <v>0</v>
      </c>
      <c r="I22" s="712">
        <f>+landbouw!H8</f>
        <v>0</v>
      </c>
      <c r="J22" s="712">
        <f>+landbouw!I8</f>
        <v>0</v>
      </c>
      <c r="K22" s="712">
        <f>+landbouw!J8</f>
        <v>692.76372085004448</v>
      </c>
      <c r="L22" s="712">
        <f>+landbouw!K8</f>
        <v>0</v>
      </c>
      <c r="M22" s="712">
        <f>+landbouw!L8</f>
        <v>0</v>
      </c>
      <c r="N22" s="712">
        <f>+landbouw!M8</f>
        <v>0</v>
      </c>
      <c r="O22" s="712">
        <f>+landbouw!N8</f>
        <v>0</v>
      </c>
      <c r="P22" s="712">
        <f>+landbouw!O8</f>
        <v>0</v>
      </c>
      <c r="Q22" s="713">
        <f>+landbouw!P8</f>
        <v>0</v>
      </c>
      <c r="R22" s="714">
        <f>SUM(C22:Q22)</f>
        <v>200195.96153768155</v>
      </c>
      <c r="S22" s="68"/>
    </row>
    <row r="23" spans="1:19" s="458" customFormat="1" ht="17.25" thickTop="1" thickBot="1">
      <c r="A23" s="719" t="s">
        <v>116</v>
      </c>
      <c r="B23" s="853"/>
      <c r="C23" s="720">
        <f ca="1">C20+C15+C22</f>
        <v>61894.515699057563</v>
      </c>
      <c r="D23" s="720">
        <f t="shared" ref="D23:Q23" ca="1" si="2">D20+D15+D22</f>
        <v>175575.21428571429</v>
      </c>
      <c r="E23" s="720">
        <f t="shared" ca="1" si="2"/>
        <v>78120.011731565697</v>
      </c>
      <c r="F23" s="720">
        <f t="shared" si="2"/>
        <v>5916.9780053466002</v>
      </c>
      <c r="G23" s="720">
        <f t="shared" ca="1" si="2"/>
        <v>29707.397145047224</v>
      </c>
      <c r="H23" s="720">
        <f t="shared" si="2"/>
        <v>43645.719914942383</v>
      </c>
      <c r="I23" s="720">
        <f t="shared" si="2"/>
        <v>7227.1093584899927</v>
      </c>
      <c r="J23" s="720">
        <f t="shared" si="2"/>
        <v>0</v>
      </c>
      <c r="K23" s="720">
        <f t="shared" si="2"/>
        <v>1066.0773408379521</v>
      </c>
      <c r="L23" s="720">
        <f t="shared" si="2"/>
        <v>0</v>
      </c>
      <c r="M23" s="720">
        <f t="shared" ca="1" si="2"/>
        <v>0</v>
      </c>
      <c r="N23" s="720">
        <f t="shared" si="2"/>
        <v>2273.2438272828513</v>
      </c>
      <c r="O23" s="720">
        <f t="shared" ca="1" si="2"/>
        <v>18049.891492116523</v>
      </c>
      <c r="P23" s="720">
        <f t="shared" si="2"/>
        <v>68.786666666666676</v>
      </c>
      <c r="Q23" s="721">
        <f t="shared" si="2"/>
        <v>343.2</v>
      </c>
      <c r="R23" s="722">
        <f ca="1">R20+R15+R22</f>
        <v>423888.14546706772</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4204.8514135794649</v>
      </c>
      <c r="D36" s="703">
        <f ca="1">tertiair!C20</f>
        <v>0</v>
      </c>
      <c r="E36" s="703">
        <f ca="1">tertiair!D20</f>
        <v>2282.7788991724588</v>
      </c>
      <c r="F36" s="703">
        <f>tertiair!E20</f>
        <v>49.495011243581125</v>
      </c>
      <c r="G36" s="703">
        <f ca="1">tertiair!F20</f>
        <v>1077.0244669964889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7614.1497909919935</v>
      </c>
    </row>
    <row r="37" spans="1:18">
      <c r="A37" s="874" t="s">
        <v>225</v>
      </c>
      <c r="B37" s="881"/>
      <c r="C37" s="703">
        <f ca="1">huishoudens!B12</f>
        <v>4713.2112367254322</v>
      </c>
      <c r="D37" s="703">
        <f ca="1">huishoudens!C12</f>
        <v>0</v>
      </c>
      <c r="E37" s="703">
        <f>huishoudens!D12</f>
        <v>10347.928110429388</v>
      </c>
      <c r="F37" s="703">
        <f>huishoudens!E12</f>
        <v>1214.651107034126</v>
      </c>
      <c r="G37" s="703">
        <f>huishoudens!F12</f>
        <v>763.17551045223274</v>
      </c>
      <c r="H37" s="703">
        <f>huishoudens!G12</f>
        <v>0</v>
      </c>
      <c r="I37" s="703">
        <f>huishoudens!H12</f>
        <v>0</v>
      </c>
      <c r="J37" s="703">
        <f>huishoudens!I12</f>
        <v>0</v>
      </c>
      <c r="K37" s="703">
        <f>huishoudens!J12</f>
        <v>113.94608356070849</v>
      </c>
      <c r="L37" s="703">
        <f>huishoudens!K12</f>
        <v>0</v>
      </c>
      <c r="M37" s="703">
        <f>huishoudens!L12</f>
        <v>0</v>
      </c>
      <c r="N37" s="703">
        <f>huishoudens!M12</f>
        <v>0</v>
      </c>
      <c r="O37" s="703">
        <f>huishoudens!N12</f>
        <v>0</v>
      </c>
      <c r="P37" s="703">
        <f>huishoudens!O12</f>
        <v>0</v>
      </c>
      <c r="Q37" s="813">
        <f>huishoudens!P12</f>
        <v>0</v>
      </c>
      <c r="R37" s="906">
        <f ca="1">SUM(C37:Q37)</f>
        <v>17152.912048201888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2688.0402744359289</v>
      </c>
      <c r="D39" s="703">
        <f ca="1">industrie!C22</f>
        <v>0</v>
      </c>
      <c r="E39" s="703">
        <f>industrie!D22</f>
        <v>3148.8787823516159</v>
      </c>
      <c r="F39" s="703">
        <f>industrie!E22</f>
        <v>24.210571851772244</v>
      </c>
      <c r="G39" s="703">
        <f>industrie!F22</f>
        <v>1212.2251535503697</v>
      </c>
      <c r="H39" s="703">
        <f>industrie!G22</f>
        <v>0</v>
      </c>
      <c r="I39" s="703">
        <f>industrie!H22</f>
        <v>0</v>
      </c>
      <c r="J39" s="703">
        <f>industrie!I22</f>
        <v>0</v>
      </c>
      <c r="K39" s="703">
        <f>industrie!J22</f>
        <v>18.206937915010826</v>
      </c>
      <c r="L39" s="703">
        <f>industrie!K22</f>
        <v>0</v>
      </c>
      <c r="M39" s="703">
        <f>industrie!L22</f>
        <v>0</v>
      </c>
      <c r="N39" s="703">
        <f>industrie!M22</f>
        <v>0</v>
      </c>
      <c r="O39" s="703">
        <f>industrie!N22</f>
        <v>0</v>
      </c>
      <c r="P39" s="703">
        <f>industrie!O22</f>
        <v>0</v>
      </c>
      <c r="Q39" s="813">
        <f>industrie!P22</f>
        <v>0</v>
      </c>
      <c r="R39" s="907">
        <f ca="1">SUM(C39:Q39)</f>
        <v>7091.5617201046971</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11606.102924740826</v>
      </c>
      <c r="D41" s="748">
        <f t="shared" ref="D41:R41" ca="1" si="4">SUM(D35:D40)</f>
        <v>0</v>
      </c>
      <c r="E41" s="748">
        <f t="shared" ca="1" si="4"/>
        <v>15779.585791953463</v>
      </c>
      <c r="F41" s="748">
        <f t="shared" si="4"/>
        <v>1288.3566901294794</v>
      </c>
      <c r="G41" s="748">
        <f t="shared" ca="1" si="4"/>
        <v>3052.4251309990914</v>
      </c>
      <c r="H41" s="748">
        <f t="shared" si="4"/>
        <v>0</v>
      </c>
      <c r="I41" s="748">
        <f t="shared" si="4"/>
        <v>0</v>
      </c>
      <c r="J41" s="748">
        <f t="shared" si="4"/>
        <v>0</v>
      </c>
      <c r="K41" s="748">
        <f t="shared" si="4"/>
        <v>132.1530214757193</v>
      </c>
      <c r="L41" s="748">
        <f t="shared" si="4"/>
        <v>0</v>
      </c>
      <c r="M41" s="748">
        <f t="shared" ca="1" si="4"/>
        <v>0</v>
      </c>
      <c r="N41" s="748">
        <f t="shared" si="4"/>
        <v>0</v>
      </c>
      <c r="O41" s="748">
        <f t="shared" ca="1" si="4"/>
        <v>0</v>
      </c>
      <c r="P41" s="748">
        <f t="shared" si="4"/>
        <v>0</v>
      </c>
      <c r="Q41" s="749">
        <f t="shared" si="4"/>
        <v>0</v>
      </c>
      <c r="R41" s="750">
        <f t="shared" ca="1" si="4"/>
        <v>31858.623559298576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391.38640950864652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391.38640950864652</v>
      </c>
    </row>
    <row r="45" spans="1:18" ht="15" thickBot="1">
      <c r="A45" s="877" t="s">
        <v>307</v>
      </c>
      <c r="B45" s="887"/>
      <c r="C45" s="712">
        <f ca="1">transport!B18</f>
        <v>0.24369750740844698</v>
      </c>
      <c r="D45" s="712">
        <f>transport!C18</f>
        <v>0</v>
      </c>
      <c r="E45" s="712">
        <f>transport!D18</f>
        <v>0.65657782281065069</v>
      </c>
      <c r="F45" s="712">
        <f>transport!E18</f>
        <v>42.821476419240746</v>
      </c>
      <c r="G45" s="712">
        <f>transport!F18</f>
        <v>0</v>
      </c>
      <c r="H45" s="712">
        <f>transport!G18</f>
        <v>11262.020807780969</v>
      </c>
      <c r="I45" s="712">
        <f>transport!H18</f>
        <v>1799.5502302640082</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13105.292789794437</v>
      </c>
    </row>
    <row r="46" spans="1:18" ht="15.75" thickBot="1">
      <c r="A46" s="875" t="s">
        <v>230</v>
      </c>
      <c r="B46" s="888"/>
      <c r="C46" s="748">
        <f t="shared" ref="C46:R46" ca="1" si="5">SUM(C43:C45)</f>
        <v>0.24369750740844698</v>
      </c>
      <c r="D46" s="748">
        <f t="shared" ca="1" si="5"/>
        <v>0</v>
      </c>
      <c r="E46" s="748">
        <f t="shared" si="5"/>
        <v>0.65657782281065069</v>
      </c>
      <c r="F46" s="748">
        <f t="shared" si="5"/>
        <v>42.821476419240746</v>
      </c>
      <c r="G46" s="748">
        <f t="shared" si="5"/>
        <v>0</v>
      </c>
      <c r="H46" s="748">
        <f t="shared" si="5"/>
        <v>11653.407217289616</v>
      </c>
      <c r="I46" s="748">
        <f t="shared" si="5"/>
        <v>1799.5502302640082</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13496.679199303084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1154.5927795453877</v>
      </c>
      <c r="D48" s="703">
        <f ca="1">+landbouw!C12</f>
        <v>37272.055462184879</v>
      </c>
      <c r="E48" s="703">
        <f>+landbouw!D12</f>
        <v>0</v>
      </c>
      <c r="F48" s="703">
        <f>+landbouw!E12</f>
        <v>11.975840664958049</v>
      </c>
      <c r="G48" s="703">
        <f>+landbouw!F12</f>
        <v>4879.4499067285178</v>
      </c>
      <c r="H48" s="703">
        <f>+landbouw!G12</f>
        <v>0</v>
      </c>
      <c r="I48" s="703">
        <f>+landbouw!H12</f>
        <v>0</v>
      </c>
      <c r="J48" s="703">
        <f>+landbouw!I12</f>
        <v>0</v>
      </c>
      <c r="K48" s="703">
        <f>+landbouw!J12</f>
        <v>245.23835718091573</v>
      </c>
      <c r="L48" s="703">
        <f>+landbouw!K12</f>
        <v>0</v>
      </c>
      <c r="M48" s="703">
        <f>+landbouw!L12</f>
        <v>0</v>
      </c>
      <c r="N48" s="703">
        <f>+landbouw!M12</f>
        <v>0</v>
      </c>
      <c r="O48" s="703">
        <f>+landbouw!N12</f>
        <v>0</v>
      </c>
      <c r="P48" s="703">
        <f>+landbouw!O12</f>
        <v>0</v>
      </c>
      <c r="Q48" s="704">
        <f>+landbouw!P12</f>
        <v>0</v>
      </c>
      <c r="R48" s="746">
        <f ca="1">SUM(C48:Q48)</f>
        <v>43563.312346304665</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12760.939401793623</v>
      </c>
      <c r="D53" s="758">
        <f t="shared" ref="D53:Q53" ca="1" si="6">D41+D46+D48</f>
        <v>37272.055462184879</v>
      </c>
      <c r="E53" s="758">
        <f t="shared" ca="1" si="6"/>
        <v>15780.242369776273</v>
      </c>
      <c r="F53" s="758">
        <f t="shared" si="6"/>
        <v>1343.1540072136781</v>
      </c>
      <c r="G53" s="758">
        <f t="shared" ca="1" si="6"/>
        <v>7931.8750377276092</v>
      </c>
      <c r="H53" s="758">
        <f t="shared" si="6"/>
        <v>11653.407217289616</v>
      </c>
      <c r="I53" s="758">
        <f t="shared" si="6"/>
        <v>1799.5502302640082</v>
      </c>
      <c r="J53" s="758">
        <f t="shared" si="6"/>
        <v>0</v>
      </c>
      <c r="K53" s="758">
        <f t="shared" si="6"/>
        <v>377.39137865663503</v>
      </c>
      <c r="L53" s="758">
        <f t="shared" si="6"/>
        <v>0</v>
      </c>
      <c r="M53" s="758">
        <f t="shared" ca="1" si="6"/>
        <v>0</v>
      </c>
      <c r="N53" s="758">
        <f t="shared" si="6"/>
        <v>0</v>
      </c>
      <c r="O53" s="758">
        <f t="shared" ca="1" si="6"/>
        <v>0</v>
      </c>
      <c r="P53" s="758">
        <f>P41+P46+P48</f>
        <v>0</v>
      </c>
      <c r="Q53" s="759">
        <f t="shared" si="6"/>
        <v>0</v>
      </c>
      <c r="R53" s="760">
        <f ca="1">R41+R46+R48</f>
        <v>88918.615104906319</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0.20617237662605908</v>
      </c>
      <c r="D55" s="824">
        <f t="shared" ca="1" si="7"/>
        <v>0.21228540494065357</v>
      </c>
      <c r="E55" s="824">
        <f t="shared" ca="1" si="7"/>
        <v>0.20200000000000004</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3644.0739137007222</v>
      </c>
      <c r="C66" s="780">
        <f>'lokale energieproductie'!B6</f>
        <v>3644.0739137007222</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122902.65</v>
      </c>
      <c r="C67" s="779">
        <f>B67*IFERROR(SUM(J67:L67)/SUM(D67:M67),0)</f>
        <v>13116.149999999998</v>
      </c>
      <c r="D67" s="811">
        <f>'lokale energieproductie'!C7</f>
        <v>129160.58823529413</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15430.764705882351</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26090.438823529414</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126546.72391370071</v>
      </c>
      <c r="C69" s="788">
        <f>SUM(C64:C68)</f>
        <v>16760.22391370072</v>
      </c>
      <c r="D69" s="789">
        <f t="shared" ref="D69:M69" si="8">SUM(D67:D68)</f>
        <v>129160.58823529413</v>
      </c>
      <c r="E69" s="789">
        <f t="shared" si="8"/>
        <v>0</v>
      </c>
      <c r="F69" s="789">
        <f t="shared" si="8"/>
        <v>0</v>
      </c>
      <c r="G69" s="789">
        <f t="shared" si="8"/>
        <v>0</v>
      </c>
      <c r="H69" s="789">
        <f t="shared" si="8"/>
        <v>0</v>
      </c>
      <c r="I69" s="789">
        <f t="shared" si="8"/>
        <v>0</v>
      </c>
      <c r="J69" s="789">
        <f t="shared" si="8"/>
        <v>0</v>
      </c>
      <c r="K69" s="789">
        <f t="shared" si="8"/>
        <v>15430.764705882351</v>
      </c>
      <c r="L69" s="789">
        <f t="shared" si="8"/>
        <v>0</v>
      </c>
      <c r="M69" s="919">
        <f t="shared" si="8"/>
        <v>0</v>
      </c>
      <c r="N69" s="790">
        <v>0</v>
      </c>
      <c r="O69" s="790">
        <f>SUM(O67:O68)</f>
        <v>26090.438823529414</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175575.21428571429</v>
      </c>
      <c r="C78" s="802">
        <f>B78*IFERROR(SUM(I78:L78)/SUM(D78:M78),0)</f>
        <v>18737.357142857141</v>
      </c>
      <c r="D78" s="817">
        <f>'lokale energieproductie'!C16</f>
        <v>184515.12605042019</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22043.949579831933</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37272.055462184879</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175575.21428571429</v>
      </c>
      <c r="C81" s="788">
        <f>SUM(C78:C80)</f>
        <v>18737.357142857141</v>
      </c>
      <c r="D81" s="788">
        <f t="shared" ref="D81:P81" si="9">SUM(D78:D80)</f>
        <v>184515.12605042019</v>
      </c>
      <c r="E81" s="788">
        <f t="shared" si="9"/>
        <v>0</v>
      </c>
      <c r="F81" s="788">
        <f t="shared" si="9"/>
        <v>0</v>
      </c>
      <c r="G81" s="788">
        <f t="shared" si="9"/>
        <v>0</v>
      </c>
      <c r="H81" s="788">
        <f t="shared" si="9"/>
        <v>0</v>
      </c>
      <c r="I81" s="788">
        <f t="shared" si="9"/>
        <v>0</v>
      </c>
      <c r="J81" s="788">
        <f t="shared" si="9"/>
        <v>0</v>
      </c>
      <c r="K81" s="788">
        <f t="shared" si="9"/>
        <v>22043.949579831933</v>
      </c>
      <c r="L81" s="788">
        <f t="shared" si="9"/>
        <v>0</v>
      </c>
      <c r="M81" s="788">
        <f t="shared" si="9"/>
        <v>0</v>
      </c>
      <c r="N81" s="788">
        <v>0</v>
      </c>
      <c r="O81" s="788">
        <f>SUM(O78:O80)</f>
        <v>37272.055462184879</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22860.536963561921</v>
      </c>
      <c r="C4" s="462">
        <f>huishoudens!C8</f>
        <v>0</v>
      </c>
      <c r="D4" s="462">
        <f>huishoudens!D8</f>
        <v>51227.3668833138</v>
      </c>
      <c r="E4" s="462">
        <f>huishoudens!E8</f>
        <v>5350.8859340710396</v>
      </c>
      <c r="F4" s="462">
        <f>huishoudens!F8</f>
        <v>2858.3352451394485</v>
      </c>
      <c r="G4" s="462">
        <f>huishoudens!G8</f>
        <v>0</v>
      </c>
      <c r="H4" s="462">
        <f>huishoudens!H8</f>
        <v>0</v>
      </c>
      <c r="I4" s="462">
        <f>huishoudens!I8</f>
        <v>0</v>
      </c>
      <c r="J4" s="462">
        <f>huishoudens!J8</f>
        <v>321.88159197940251</v>
      </c>
      <c r="K4" s="462">
        <f>huishoudens!K8</f>
        <v>0</v>
      </c>
      <c r="L4" s="462">
        <f>huishoudens!L8</f>
        <v>0</v>
      </c>
      <c r="M4" s="462">
        <f>huishoudens!M8</f>
        <v>0</v>
      </c>
      <c r="N4" s="462">
        <f>huishoudens!N8</f>
        <v>16005.342620601863</v>
      </c>
      <c r="O4" s="462">
        <f>huishoudens!O8</f>
        <v>68.786666666666676</v>
      </c>
      <c r="P4" s="463">
        <f>huishoudens!P8</f>
        <v>343.2</v>
      </c>
      <c r="Q4" s="464">
        <f>SUM(B4:P4)</f>
        <v>99036.335905334126</v>
      </c>
    </row>
    <row r="5" spans="1:17">
      <c r="A5" s="461" t="s">
        <v>156</v>
      </c>
      <c r="B5" s="462">
        <f ca="1">tertiair!B16</f>
        <v>19652.896081996972</v>
      </c>
      <c r="C5" s="462">
        <f ca="1">tertiair!C16</f>
        <v>0</v>
      </c>
      <c r="D5" s="462">
        <f ca="1">tertiair!D16</f>
        <v>11300.885639467617</v>
      </c>
      <c r="E5" s="462">
        <f>tertiair!E16</f>
        <v>218.03969710828687</v>
      </c>
      <c r="F5" s="462">
        <f ca="1">tertiair!F16</f>
        <v>4033.7995018595084</v>
      </c>
      <c r="G5" s="462">
        <f>tertiair!G16</f>
        <v>0</v>
      </c>
      <c r="H5" s="462">
        <f>tertiair!H16</f>
        <v>0</v>
      </c>
      <c r="I5" s="462">
        <f>tertiair!I16</f>
        <v>0</v>
      </c>
      <c r="J5" s="462">
        <f>tertiair!J16</f>
        <v>0</v>
      </c>
      <c r="K5" s="462">
        <f>tertiair!K16</f>
        <v>0</v>
      </c>
      <c r="L5" s="462">
        <f ca="1">tertiair!L16</f>
        <v>0</v>
      </c>
      <c r="M5" s="462">
        <f>tertiair!M16</f>
        <v>0</v>
      </c>
      <c r="N5" s="462">
        <f ca="1">tertiair!N16</f>
        <v>1508.8699724996845</v>
      </c>
      <c r="O5" s="462">
        <f>tertiair!O16</f>
        <v>0</v>
      </c>
      <c r="P5" s="463">
        <f>tertiair!P16</f>
        <v>0</v>
      </c>
      <c r="Q5" s="461">
        <f t="shared" ref="Q5:Q13" ca="1" si="0">SUM(B5:P5)</f>
        <v>36714.490892932074</v>
      </c>
    </row>
    <row r="6" spans="1:17">
      <c r="A6" s="461" t="s">
        <v>194</v>
      </c>
      <c r="B6" s="462">
        <f>'openbare verlichting'!B8</f>
        <v>741.93799999999999</v>
      </c>
      <c r="C6" s="462"/>
      <c r="D6" s="462"/>
      <c r="E6" s="462"/>
      <c r="F6" s="462"/>
      <c r="G6" s="462"/>
      <c r="H6" s="462"/>
      <c r="I6" s="462"/>
      <c r="J6" s="462"/>
      <c r="K6" s="462"/>
      <c r="L6" s="462"/>
      <c r="M6" s="462"/>
      <c r="N6" s="462"/>
      <c r="O6" s="462"/>
      <c r="P6" s="463"/>
      <c r="Q6" s="461">
        <f t="shared" si="0"/>
        <v>741.93799999999999</v>
      </c>
    </row>
    <row r="7" spans="1:17">
      <c r="A7" s="461" t="s">
        <v>112</v>
      </c>
      <c r="B7" s="462">
        <f>landbouw!B8</f>
        <v>5600.1332401551881</v>
      </c>
      <c r="C7" s="462">
        <f>landbouw!C8</f>
        <v>175575.21428571429</v>
      </c>
      <c r="D7" s="462">
        <f>landbouw!D8</f>
        <v>0</v>
      </c>
      <c r="E7" s="462">
        <f>landbouw!E8</f>
        <v>52.757007334616958</v>
      </c>
      <c r="F7" s="462">
        <f>landbouw!F8</f>
        <v>18275.093283627408</v>
      </c>
      <c r="G7" s="462">
        <f>landbouw!G8</f>
        <v>0</v>
      </c>
      <c r="H7" s="462">
        <f>landbouw!H8</f>
        <v>0</v>
      </c>
      <c r="I7" s="462">
        <f>landbouw!I8</f>
        <v>0</v>
      </c>
      <c r="J7" s="462">
        <f>landbouw!J8</f>
        <v>692.76372085004448</v>
      </c>
      <c r="K7" s="462">
        <f>landbouw!K8</f>
        <v>0</v>
      </c>
      <c r="L7" s="462">
        <f>landbouw!L8</f>
        <v>0</v>
      </c>
      <c r="M7" s="462">
        <f>landbouw!M8</f>
        <v>0</v>
      </c>
      <c r="N7" s="462">
        <f>landbouw!N8</f>
        <v>0</v>
      </c>
      <c r="O7" s="462">
        <f>landbouw!O8</f>
        <v>0</v>
      </c>
      <c r="P7" s="463">
        <f>landbouw!P8</f>
        <v>0</v>
      </c>
      <c r="Q7" s="461">
        <f t="shared" si="0"/>
        <v>200195.96153768155</v>
      </c>
    </row>
    <row r="8" spans="1:17">
      <c r="A8" s="461" t="s">
        <v>685</v>
      </c>
      <c r="B8" s="462">
        <f>industrie!B18</f>
        <v>13037.829404815502</v>
      </c>
      <c r="C8" s="462">
        <f>industrie!C18</f>
        <v>0</v>
      </c>
      <c r="D8" s="462">
        <f>industrie!D18</f>
        <v>15588.50882352285</v>
      </c>
      <c r="E8" s="462">
        <f>industrie!E18</f>
        <v>106.65450154965745</v>
      </c>
      <c r="F8" s="462">
        <f>industrie!F18</f>
        <v>4540.1691144208598</v>
      </c>
      <c r="G8" s="462">
        <f>industrie!G18</f>
        <v>0</v>
      </c>
      <c r="H8" s="462">
        <f>industrie!H18</f>
        <v>0</v>
      </c>
      <c r="I8" s="462">
        <f>industrie!I18</f>
        <v>0</v>
      </c>
      <c r="J8" s="462">
        <f>industrie!J18</f>
        <v>51.432028008505164</v>
      </c>
      <c r="K8" s="462">
        <f>industrie!K18</f>
        <v>0</v>
      </c>
      <c r="L8" s="462">
        <f>industrie!L18</f>
        <v>0</v>
      </c>
      <c r="M8" s="462">
        <f>industrie!M18</f>
        <v>0</v>
      </c>
      <c r="N8" s="462">
        <f>industrie!N18</f>
        <v>535.6788990149762</v>
      </c>
      <c r="O8" s="462">
        <f>industrie!O18</f>
        <v>0</v>
      </c>
      <c r="P8" s="463">
        <f>industrie!P18</f>
        <v>0</v>
      </c>
      <c r="Q8" s="461">
        <f t="shared" si="0"/>
        <v>33860.272771332355</v>
      </c>
    </row>
    <row r="9" spans="1:17" s="467" customFormat="1">
      <c r="A9" s="465" t="s">
        <v>579</v>
      </c>
      <c r="B9" s="466">
        <f>transport!B14</f>
        <v>1.1820085279923236</v>
      </c>
      <c r="C9" s="466"/>
      <c r="D9" s="466">
        <f>transport!D14</f>
        <v>3.2503852614388649</v>
      </c>
      <c r="E9" s="466">
        <f>transport!E14</f>
        <v>188.64086528299887</v>
      </c>
      <c r="F9" s="466"/>
      <c r="G9" s="466">
        <f>transport!G14</f>
        <v>42179.853212662805</v>
      </c>
      <c r="H9" s="466">
        <f>transport!H14</f>
        <v>7227.1093584899927</v>
      </c>
      <c r="I9" s="466"/>
      <c r="J9" s="466"/>
      <c r="K9" s="466"/>
      <c r="L9" s="466"/>
      <c r="M9" s="466">
        <f>transport!M14</f>
        <v>2208.875202287375</v>
      </c>
      <c r="N9" s="466"/>
      <c r="O9" s="466"/>
      <c r="P9" s="466"/>
      <c r="Q9" s="465">
        <f>SUM(B9:P9)</f>
        <v>51808.911032512602</v>
      </c>
    </row>
    <row r="10" spans="1:17">
      <c r="A10" s="461" t="s">
        <v>569</v>
      </c>
      <c r="B10" s="462">
        <f>transport!B54</f>
        <v>0</v>
      </c>
      <c r="C10" s="462"/>
      <c r="D10" s="462">
        <f>transport!D54</f>
        <v>0</v>
      </c>
      <c r="E10" s="462"/>
      <c r="F10" s="462"/>
      <c r="G10" s="462">
        <f>transport!G54</f>
        <v>1465.8667022795748</v>
      </c>
      <c r="H10" s="462"/>
      <c r="I10" s="462"/>
      <c r="J10" s="462"/>
      <c r="K10" s="462"/>
      <c r="L10" s="462"/>
      <c r="M10" s="462">
        <f>transport!M54</f>
        <v>64.368624995476239</v>
      </c>
      <c r="N10" s="462"/>
      <c r="O10" s="462"/>
      <c r="P10" s="463"/>
      <c r="Q10" s="461">
        <f t="shared" si="0"/>
        <v>1530.2353272750511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61894.515699057571</v>
      </c>
      <c r="C14" s="472">
        <f t="shared" ref="C14:Q14" ca="1" si="1">SUM(C4:C13)</f>
        <v>175575.21428571429</v>
      </c>
      <c r="D14" s="472">
        <f t="shared" ca="1" si="1"/>
        <v>78120.011731565697</v>
      </c>
      <c r="E14" s="472">
        <f t="shared" si="1"/>
        <v>5916.9780053466002</v>
      </c>
      <c r="F14" s="472">
        <f t="shared" ca="1" si="1"/>
        <v>29707.397145047224</v>
      </c>
      <c r="G14" s="472">
        <f t="shared" si="1"/>
        <v>43645.719914942383</v>
      </c>
      <c r="H14" s="472">
        <f t="shared" si="1"/>
        <v>7227.1093584899927</v>
      </c>
      <c r="I14" s="472">
        <f t="shared" si="1"/>
        <v>0</v>
      </c>
      <c r="J14" s="472">
        <f t="shared" si="1"/>
        <v>1066.0773408379521</v>
      </c>
      <c r="K14" s="472">
        <f t="shared" si="1"/>
        <v>0</v>
      </c>
      <c r="L14" s="472">
        <f t="shared" ca="1" si="1"/>
        <v>0</v>
      </c>
      <c r="M14" s="472">
        <f t="shared" si="1"/>
        <v>2273.2438272828513</v>
      </c>
      <c r="N14" s="472">
        <f t="shared" ca="1" si="1"/>
        <v>18049.891492116523</v>
      </c>
      <c r="O14" s="472">
        <f t="shared" si="1"/>
        <v>68.786666666666676</v>
      </c>
      <c r="P14" s="473">
        <f t="shared" si="1"/>
        <v>343.2</v>
      </c>
      <c r="Q14" s="473">
        <f t="shared" ca="1" si="1"/>
        <v>423888.14546706778</v>
      </c>
    </row>
    <row r="16" spans="1:17">
      <c r="A16" s="475" t="s">
        <v>574</v>
      </c>
      <c r="B16" s="829">
        <f ca="1">huishoudens!B10</f>
        <v>0.20617237662605903</v>
      </c>
      <c r="C16" s="829">
        <f ca="1">huishoudens!C10</f>
        <v>0.21228540494065357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4713.2112367254322</v>
      </c>
      <c r="C21" s="462">
        <f t="shared" ref="C21:C28" ca="1" si="3">C4*$C$16</f>
        <v>0</v>
      </c>
      <c r="D21" s="462">
        <f t="shared" ref="D21:D30" si="4">D4*$D$16</f>
        <v>10347.928110429388</v>
      </c>
      <c r="E21" s="462">
        <f t="shared" ref="E21:E30" si="5">E4*$E$16</f>
        <v>1214.651107034126</v>
      </c>
      <c r="F21" s="462">
        <f t="shared" ref="F21:F28" si="6">F4*$F$16</f>
        <v>763.17551045223274</v>
      </c>
      <c r="G21" s="462">
        <f t="shared" ref="G21:G30" si="7">G4*$G$16</f>
        <v>0</v>
      </c>
      <c r="H21" s="462">
        <f t="shared" ref="H21:H30" si="8">H4*$H$16</f>
        <v>0</v>
      </c>
      <c r="I21" s="462">
        <f t="shared" ref="I21:I28" si="9">I4*$I$16</f>
        <v>0</v>
      </c>
      <c r="J21" s="462">
        <f t="shared" ref="J21:J28" si="10">J4*$J$16</f>
        <v>113.94608356070849</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17152.912048201888</v>
      </c>
    </row>
    <row r="22" spans="1:17">
      <c r="A22" s="461" t="s">
        <v>156</v>
      </c>
      <c r="B22" s="462">
        <f t="shared" ca="1" si="2"/>
        <v>4051.8842928102795</v>
      </c>
      <c r="C22" s="462">
        <f t="shared" ca="1" si="3"/>
        <v>0</v>
      </c>
      <c r="D22" s="462">
        <f t="shared" ca="1" si="4"/>
        <v>2282.7788991724588</v>
      </c>
      <c r="E22" s="462">
        <f t="shared" si="5"/>
        <v>49.495011243581125</v>
      </c>
      <c r="F22" s="462">
        <f t="shared" ca="1" si="6"/>
        <v>1077.0244669964889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7461.1826702228072</v>
      </c>
    </row>
    <row r="23" spans="1:17">
      <c r="A23" s="461" t="s">
        <v>194</v>
      </c>
      <c r="B23" s="462">
        <f t="shared" ca="1" si="2"/>
        <v>152.96712076918499</v>
      </c>
      <c r="C23" s="462"/>
      <c r="D23" s="462"/>
      <c r="E23" s="462"/>
      <c r="F23" s="462"/>
      <c r="G23" s="462"/>
      <c r="H23" s="462"/>
      <c r="I23" s="462"/>
      <c r="J23" s="462"/>
      <c r="K23" s="462"/>
      <c r="L23" s="462"/>
      <c r="M23" s="462"/>
      <c r="N23" s="462"/>
      <c r="O23" s="462"/>
      <c r="P23" s="463"/>
      <c r="Q23" s="461">
        <f t="shared" ca="1" si="17"/>
        <v>152.96712076918499</v>
      </c>
    </row>
    <row r="24" spans="1:17">
      <c r="A24" s="461" t="s">
        <v>112</v>
      </c>
      <c r="B24" s="462">
        <f t="shared" ca="1" si="2"/>
        <v>1154.5927795453877</v>
      </c>
      <c r="C24" s="462">
        <f t="shared" ca="1" si="3"/>
        <v>37272.055462184879</v>
      </c>
      <c r="D24" s="462">
        <f t="shared" si="4"/>
        <v>0</v>
      </c>
      <c r="E24" s="462">
        <f t="shared" si="5"/>
        <v>11.975840664958049</v>
      </c>
      <c r="F24" s="462">
        <f t="shared" si="6"/>
        <v>4879.4499067285178</v>
      </c>
      <c r="G24" s="462">
        <f t="shared" si="7"/>
        <v>0</v>
      </c>
      <c r="H24" s="462">
        <f t="shared" si="8"/>
        <v>0</v>
      </c>
      <c r="I24" s="462">
        <f t="shared" si="9"/>
        <v>0</v>
      </c>
      <c r="J24" s="462">
        <f t="shared" si="10"/>
        <v>245.23835718091573</v>
      </c>
      <c r="K24" s="462">
        <f t="shared" si="11"/>
        <v>0</v>
      </c>
      <c r="L24" s="462">
        <f t="shared" si="12"/>
        <v>0</v>
      </c>
      <c r="M24" s="462">
        <f t="shared" si="13"/>
        <v>0</v>
      </c>
      <c r="N24" s="462">
        <f t="shared" si="14"/>
        <v>0</v>
      </c>
      <c r="O24" s="462">
        <f t="shared" si="15"/>
        <v>0</v>
      </c>
      <c r="P24" s="463">
        <f t="shared" si="16"/>
        <v>0</v>
      </c>
      <c r="Q24" s="461">
        <f t="shared" ca="1" si="17"/>
        <v>43563.312346304665</v>
      </c>
    </row>
    <row r="25" spans="1:17">
      <c r="A25" s="461" t="s">
        <v>685</v>
      </c>
      <c r="B25" s="462">
        <f t="shared" ca="1" si="2"/>
        <v>2688.0402744359289</v>
      </c>
      <c r="C25" s="462">
        <f t="shared" ca="1" si="3"/>
        <v>0</v>
      </c>
      <c r="D25" s="462">
        <f t="shared" si="4"/>
        <v>3148.8787823516159</v>
      </c>
      <c r="E25" s="462">
        <f t="shared" si="5"/>
        <v>24.210571851772244</v>
      </c>
      <c r="F25" s="462">
        <f t="shared" si="6"/>
        <v>1212.2251535503697</v>
      </c>
      <c r="G25" s="462">
        <f t="shared" si="7"/>
        <v>0</v>
      </c>
      <c r="H25" s="462">
        <f t="shared" si="8"/>
        <v>0</v>
      </c>
      <c r="I25" s="462">
        <f t="shared" si="9"/>
        <v>0</v>
      </c>
      <c r="J25" s="462">
        <f t="shared" si="10"/>
        <v>18.206937915010826</v>
      </c>
      <c r="K25" s="462">
        <f t="shared" si="11"/>
        <v>0</v>
      </c>
      <c r="L25" s="462">
        <f t="shared" si="12"/>
        <v>0</v>
      </c>
      <c r="M25" s="462">
        <f t="shared" si="13"/>
        <v>0</v>
      </c>
      <c r="N25" s="462">
        <f t="shared" si="14"/>
        <v>0</v>
      </c>
      <c r="O25" s="462">
        <f t="shared" si="15"/>
        <v>0</v>
      </c>
      <c r="P25" s="463">
        <f t="shared" si="16"/>
        <v>0</v>
      </c>
      <c r="Q25" s="461">
        <f t="shared" ca="1" si="17"/>
        <v>7091.5617201046971</v>
      </c>
    </row>
    <row r="26" spans="1:17" s="467" customFormat="1">
      <c r="A26" s="465" t="s">
        <v>579</v>
      </c>
      <c r="B26" s="823">
        <f t="shared" ca="1" si="2"/>
        <v>0.24369750740844698</v>
      </c>
      <c r="C26" s="466"/>
      <c r="D26" s="466">
        <f t="shared" si="4"/>
        <v>0.65657782281065069</v>
      </c>
      <c r="E26" s="466">
        <f t="shared" si="5"/>
        <v>42.821476419240746</v>
      </c>
      <c r="F26" s="466"/>
      <c r="G26" s="466">
        <f t="shared" si="7"/>
        <v>11262.020807780969</v>
      </c>
      <c r="H26" s="466">
        <f t="shared" si="8"/>
        <v>1799.5502302640082</v>
      </c>
      <c r="I26" s="466"/>
      <c r="J26" s="466"/>
      <c r="K26" s="466"/>
      <c r="L26" s="466"/>
      <c r="M26" s="466">
        <f t="shared" si="13"/>
        <v>0</v>
      </c>
      <c r="N26" s="466"/>
      <c r="O26" s="466"/>
      <c r="P26" s="477"/>
      <c r="Q26" s="465">
        <f t="shared" ca="1" si="17"/>
        <v>13105.292789794437</v>
      </c>
    </row>
    <row r="27" spans="1:17">
      <c r="A27" s="461" t="s">
        <v>569</v>
      </c>
      <c r="B27" s="462">
        <f t="shared" ca="1" si="2"/>
        <v>0</v>
      </c>
      <c r="C27" s="462"/>
      <c r="D27" s="466">
        <f t="shared" si="4"/>
        <v>0</v>
      </c>
      <c r="E27" s="462"/>
      <c r="F27" s="462"/>
      <c r="G27" s="462">
        <f t="shared" si="7"/>
        <v>391.38640950864652</v>
      </c>
      <c r="H27" s="462"/>
      <c r="I27" s="462"/>
      <c r="J27" s="462"/>
      <c r="K27" s="462"/>
      <c r="L27" s="462"/>
      <c r="M27" s="462">
        <f t="shared" si="13"/>
        <v>0</v>
      </c>
      <c r="N27" s="462"/>
      <c r="O27" s="462"/>
      <c r="P27" s="463"/>
      <c r="Q27" s="461">
        <f t="shared" ca="1" si="17"/>
        <v>391.38640950864652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12760.939401793623</v>
      </c>
      <c r="C31" s="472">
        <f t="shared" ca="1" si="18"/>
        <v>37272.055462184879</v>
      </c>
      <c r="D31" s="472">
        <f t="shared" ca="1" si="18"/>
        <v>15780.242369776273</v>
      </c>
      <c r="E31" s="472">
        <f t="shared" si="18"/>
        <v>1343.1540072136781</v>
      </c>
      <c r="F31" s="472">
        <f t="shared" ca="1" si="18"/>
        <v>7931.8750377276083</v>
      </c>
      <c r="G31" s="472">
        <f t="shared" si="18"/>
        <v>11653.407217289616</v>
      </c>
      <c r="H31" s="472">
        <f t="shared" si="18"/>
        <v>1799.5502302640082</v>
      </c>
      <c r="I31" s="472">
        <f t="shared" si="18"/>
        <v>0</v>
      </c>
      <c r="J31" s="472">
        <f t="shared" si="18"/>
        <v>377.39137865663503</v>
      </c>
      <c r="K31" s="472">
        <f t="shared" si="18"/>
        <v>0</v>
      </c>
      <c r="L31" s="472">
        <f t="shared" ca="1" si="18"/>
        <v>0</v>
      </c>
      <c r="M31" s="472">
        <f t="shared" si="18"/>
        <v>0</v>
      </c>
      <c r="N31" s="472">
        <f t="shared" ca="1" si="18"/>
        <v>0</v>
      </c>
      <c r="O31" s="472">
        <f t="shared" si="18"/>
        <v>0</v>
      </c>
      <c r="P31" s="473">
        <f t="shared" si="18"/>
        <v>0</v>
      </c>
      <c r="Q31" s="473">
        <f t="shared" ca="1" si="18"/>
        <v>88918.615104906319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0.20617237662605903</v>
      </c>
      <c r="C17" s="512">
        <f ca="1">'EF ele_warmte'!B22</f>
        <v>0.21228540494065357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0.20617237662605903</v>
      </c>
      <c r="C17" s="512">
        <f ca="1">'EF ele_warmte'!B22</f>
        <v>0.21228540494065357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0.20617237662605903</v>
      </c>
      <c r="C29" s="513">
        <f ca="1">'EF ele_warmte'!B22</f>
        <v>0.21228540494065357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2018-12-05T16:05:11Z</dcterms:modified>
</cp:coreProperties>
</file>