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I19" i="14" l="1"/>
  <c r="I20" s="1"/>
  <c r="I23" s="1"/>
  <c r="I55" s="1"/>
  <c r="B22" i="6"/>
  <c r="C16" i="22" s="1"/>
  <c r="P55"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3"/>
  <c r="C16" i="48" s="1"/>
  <c r="C18" i="15"/>
  <c r="C20" s="1"/>
  <c r="D36" i="14" s="1"/>
  <c r="C20" i="16"/>
  <c r="C22" s="1"/>
  <c r="D39" i="14" s="1"/>
  <c r="O13"/>
  <c r="O15" s="1"/>
  <c r="N22" i="16"/>
  <c r="O39" i="14" s="1"/>
  <c r="O41" s="1"/>
  <c r="Q4" i="48"/>
  <c r="N22"/>
  <c r="R11" i="14"/>
  <c r="J21" i="48"/>
  <c r="J14"/>
  <c r="R10" i="14"/>
  <c r="F8" i="48" l="1"/>
  <c r="F25" s="1"/>
  <c r="F31" s="1"/>
  <c r="C17" i="19"/>
  <c r="C19" s="1"/>
  <c r="D35" i="14" s="1"/>
  <c r="C17" i="49"/>
  <c r="Q9" i="48"/>
  <c r="F22" i="16"/>
  <c r="G39" i="14" s="1"/>
  <c r="G41" s="1"/>
  <c r="C29" i="20"/>
  <c r="C56" i="22"/>
  <c r="C58" s="1"/>
  <c r="D44" i="14" s="1"/>
  <c r="D46" s="1"/>
  <c r="C10" i="17"/>
  <c r="C12" s="1"/>
  <c r="D48" i="14" s="1"/>
  <c r="Q5" i="48"/>
  <c r="K13" i="14"/>
  <c r="K15" s="1"/>
  <c r="K23" s="1"/>
  <c r="J31" i="48"/>
  <c r="E25"/>
  <c r="E31" s="1"/>
  <c r="E14"/>
  <c r="N25"/>
  <c r="N14"/>
  <c r="E22" i="16"/>
  <c r="F39" i="14" s="1"/>
  <c r="F41" s="1"/>
  <c r="F53" s="1"/>
  <c r="J22" i="16"/>
  <c r="K39" i="14" s="1"/>
  <c r="K41" s="1"/>
  <c r="K53" s="1"/>
  <c r="K55" s="1"/>
  <c r="N31" i="48"/>
  <c r="F13" i="14"/>
  <c r="F15" s="1"/>
  <c r="F23" s="1"/>
  <c r="G14" i="48"/>
  <c r="H55" i="14"/>
  <c r="M14" i="48"/>
  <c r="R19" i="14"/>
  <c r="R20" s="1"/>
  <c r="M26" i="48"/>
  <c r="M31" s="1"/>
  <c r="O53" i="14"/>
  <c r="G53"/>
  <c r="G55" s="1"/>
  <c r="O69" s="1"/>
  <c r="B9" i="6" s="1"/>
  <c r="B12" s="1"/>
  <c r="M53" i="14"/>
  <c r="M55" s="1"/>
  <c r="C12" i="13"/>
  <c r="D37" i="14" s="1"/>
  <c r="C24" i="48"/>
  <c r="C28"/>
  <c r="C22"/>
  <c r="C25"/>
  <c r="C21"/>
  <c r="Q14" l="1"/>
  <c r="F14"/>
  <c r="Q8"/>
  <c r="R13" i="14"/>
  <c r="R15" s="1"/>
  <c r="F55"/>
  <c r="D4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<sst xmlns="http://schemas.openxmlformats.org/spreadsheetml/2006/main" count="2232" uniqueCount="926">
  <si>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</si>
  <si>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</si>
  <si>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</si>
  <si>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</si>
  <si>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</si>
  <si>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</si>
  <si>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</si>
  <si>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</si>
  <si>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</si>
  <si>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</si>
  <si>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</si>
  <si>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</si>
  <si>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</si>
  <si>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</si>
  <si>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</si>
  <si>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</si>
  <si>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</si>
  <si>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</si>
  <si>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</si>
  <si>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</si>
  <si>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</si>
  <si>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</si>
  <si>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</si>
  <si>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</si>
  <si>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</si>
  <si>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</si>
  <si>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</si>
  <si>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</si>
  <si>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</si>
  <si>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</si>
  <si>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</si>
  <si>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</si>
  <si>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</si>
  <si>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</si>
  <si>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</si>
  <si>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</si>
  <si>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</si>
  <si>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</si>
  <si>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</si>
  <si>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</si>
  <si>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</si>
  <si>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</si>
  <si>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</si>
  <si>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</si>
  <si>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</si>
  <si>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</si>
  <si>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</si>
  <si>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</si>
  <si>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</si>
  <si>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</si>
  <si>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</si>
  <si>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</si>
  <si>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</si>
  <si>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</si>
  <si>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</si>
  <si>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</si>
  <si>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</si>
  <si>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</si>
  <si>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</si>
  <si>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</si>
  <si>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</si>
  <si>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</si>
  <si>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</si>
  <si>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</si>
  <si>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</si>
  <si>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</si>
  <si>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</si>
  <si>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</si>
  <si>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</si>
  <si>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</si>
  <si>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</si>
  <si>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</si>
  <si>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</si>
  <si>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</si>
  <si>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</si>
  <si>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</si>
  <si>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</si>
  <si>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</si>
  <si>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</si>
  <si>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</si>
  <si>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</si>
  <si>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</si>
  <si>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</si>
  <si>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</si>
  <si>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</si>
  <si>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</si>
  <si>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</si>
  <si>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</si>
  <si>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</si>
  <si>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</si>
  <si>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</si>
  <si>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</si>
  <si>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</si>
  <si>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</si>
  <si>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</si>
  <si>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</si>
  <si>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</si>
  <si>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</si>
  <si>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</si>
  <si>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</si>
  <si>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</si>
  <si>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</si>
  <si>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</si>
  <si>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</si>
  <si>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</si>
  <si>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</si>
  <si>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</si>
  <si>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</si>
  <si>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</si>
  <si>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</si>
  <si>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</si>
  <si>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</si>
  <si>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</si>
  <si>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</si>
  <si>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</si>
  <si>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</si>
  <si>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</si>
  <si>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</si>
  <si>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</si>
  <si>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</si>
  <si>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</si>
  <si>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</si>
  <si>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</si>
  <si>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</si>
  <si>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</si>
  <si>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</si>
  <si>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</si>
  <si>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</si>
  <si>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</si>
  <si>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</si>
  <si>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</si>
  <si>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</si>
  <si>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</si>
  <si>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</si>
  <si>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</si>
  <si>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</si>
  <si>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</si>
  <si>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</si>
  <si>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</si>
  <si>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</si>
  <si>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</si>
  <si>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</si>
  <si>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</si>
  <si>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</si>
  <si>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</si>
  <si>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</si>
  <si>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</si>
  <si>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</si>
  <si>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</si>
  <si>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</si>
  <si>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</si>
  <si>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</si>
  <si>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</si>
  <si>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</si>
  <si>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</si>
  <si>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</si>
  <si>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</si>
  <si>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</si>
  <si>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</si>
  <si>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</si>
  <si>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</si>
  <si>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</si>
  <si>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</si>
  <si>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</si>
  <si>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</si>
  <si>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</si>
  <si>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</si>
  <si>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</si>
  <si>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</si>
  <si>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</si>
  <si>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</si>
  <si>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</si>
  <si>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</si>
  <si>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</si>
  <si>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</si>
  <si>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</si>
  <si>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</si>
  <si>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</si>
  <si>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</si>
  <si>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</si>
  <si>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</si>
  <si>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</si>
  <si>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</si>
  <si>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</si>
  <si>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</si>
  <si>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</si>
  <si>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</si>
  <si>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</si>
  <si>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</si>
  <si>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</si>
  <si>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</si>
  <si>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</si>
  <si>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</si>
  <si>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</si>
  <si>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</si>
  <si>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</si>
  <si>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</si>
  <si>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</si>
  <si>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</si>
  <si>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</si>
  <si>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</si>
  <si>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</si>
  <si>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</si>
  <si>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</si>
  <si>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</si>
  <si>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</si>
  <si>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</si>
  <si>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</si>
  <si>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</si>
  <si>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</si>
  <si>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</si>
  <si>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</si>
  <si>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</si>
  <si>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</si>
  <si>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</si>
  <si>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</si>
  <si>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</si>
  <si>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</si>
  <si>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</si>
  <si>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</si>
  <si>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</si>
  <si>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</si>
  <si>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</si>
  <si>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</si>
  <si>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</si>
  <si>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</si>
  <si>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</si>
  <si>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</si>
  <si>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</si>
  <si>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</si>
  <si>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</si>
  <si>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</si>
  <si>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</si>
  <si>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</si>
  <si>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</si>
  <si>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</si>
  <si>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</si>
  <si>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</si>
  <si>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</si>
  <si>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</si>
  <si>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</si>
  <si>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</si>
  <si>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</si>
  <si>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</si>
  <si>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</si>
  <si>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</si>
  <si>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</si>
  <si>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</si>
  <si>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</si>
  <si>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</si>
  <si>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</si>
  <si>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</si>
  <si>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</si>
  <si>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</si>
  <si>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</si>
  <si>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</si>
  <si>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</si>
  <si>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</si>
  <si>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</si>
  <si>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</si>
  <si>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</si>
  <si>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</si>
  <si>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</si>
  <si>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</si>
  <si>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</si>
  <si>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</si>
  <si>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</si>
  <si>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</si>
  <si>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</si>
  <si>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</si>
  <si>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</si>
  <si>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</si>
  <si>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</si>
  <si>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</si>
  <si>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</si>
  <si>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</si>
  <si>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</si>
  <si>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</si>
  <si>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</si>
  <si>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</si>
  <si>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</si>
  <si>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</si>
  <si>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</si>
  <si>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</si>
  <si>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</si>
  <si>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</si>
  <si>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</si>
  <si>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</si>
  <si>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</si>
  <si>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</si>
  <si>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</si>
  <si>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</si>
  <si>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</si>
  <si>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</si>
  <si>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</si>
  <si>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</si>
  <si>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</si>
  <si>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</si>
  <si>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</si>
  <si>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</si>
  <si>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</si>
  <si>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</si>
  <si>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</si>
  <si>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</si>
  <si>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</si>
  <si>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</si>
  <si>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</si>
  <si>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</si>
  <si>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</si>
  <si>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</si>
  <si>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</si>
  <si>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</si>
  <si>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</si>
  <si>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</si>
  <si>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</si>
  <si>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</si>
  <si>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</si>
  <si>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</si>
  <si>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</si>
  <si>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</si>
  <si>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</si>
  <si>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</si>
  <si>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</si>
  <si>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</si>
  <si>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</si>
  <si>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</si>
  <si>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</si>
  <si>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</si>
  <si>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</si>
  <si>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</si>
  <si>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</si>
  <si>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</si>
  <si>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</si>
  <si>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</si>
  <si>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</si>
  <si>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</si>
  <si>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</si>
  <si>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</si>
  <si>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</si>
  <si>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</si>
  <si>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</si>
  <si>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</si>
  <si>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</si>
  <si>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</si>
  <si>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</si>
  <si>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</si>
  <si>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</si>
  <si>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</si>
  <si>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</si>
  <si>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</si>
  <si>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</si>
  <si>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</si>
  <si>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</si>
  <si>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</si>
  <si>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</si>
  <si>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</si>
  <si>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</si>
  <si>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</si>
  <si>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</si>
  <si>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</si>
  <si>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</si>
  <si>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</si>
  <si>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</si>
  <si>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</si>
  <si>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</si>
  <si>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</si>
  <si>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</si>
  <si>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</si>
  <si>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</si>
  <si>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</si>
  <si>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</si>
  <si>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</si>
  <si>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</si>
  <si>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</si>
  <si>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</si>
  <si>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</si>
  <si>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</si>
  <si>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</si>
  <si>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</si>
  <si>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</si>
  <si>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</si>
  <si>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</si>
  <si>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</si>
  <si>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</si>
  <si>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</si>
  <si>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</si>
  <si>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</si>
  <si>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</si>
  <si>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</si>
  <si>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</si>
  <si>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</si>
  <si>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</si>
  <si>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</si>
  <si>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</si>
  <si>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</si>
  <si>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</si>
  <si>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</si>
  <si>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</si>
  <si>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</si>
  <si>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</si>
  <si>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</si>
  <si>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</si>
  <si>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</si>
  <si>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</si>
  <si>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</si>
  <si>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</si>
  <si>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</si>
  <si>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</si>
  <si>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</si>
  <si>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</si>
  <si>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</si>
  <si>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</si>
  <si>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</si>
  <si>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</si>
  <si>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</si>
  <si>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</si>
  <si>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</si>
  <si>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</si>
  <si>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</si>
  <si>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</si>
  <si>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</si>
  <si>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</si>
  <si>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</si>
  <si>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</si>
  <si>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</si>
  <si>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</si>
  <si>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</si>
  <si>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</si>
  <si>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</si>
  <si>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</si>
  <si>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</si>
  <si>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</si>
  <si>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</si>
  <si>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</si>
  <si>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</si>
  <si>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</si>
  <si>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</si>
  <si>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</si>
  <si>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</si>
  <si>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</si>
  <si>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</si>
  <si>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</si>
  <si>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</si>
  <si>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</si>
  <si>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</si>
  <si>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</si>
  <si>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</si>
  <si>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</si>
  <si>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</si>
  <si>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</si>
  <si>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</si>
  <si>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</si>
  <si>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</si>
  <si>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</si>
  <si>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</si>
  <si>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</si>
  <si>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</si>
  <si>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</si>
  <si>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</si>
  <si>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</si>
  <si>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</si>
  <si>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</si>
  <si>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</si>
  <si>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</si>
  <si>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</si>
  <si>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</si>
  <si>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</si>
  <si>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</si>
  <si>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</si>
  <si>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</si>
  <si>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</si>
  <si>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</si>
  <si>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</si>
  <si>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</si>
  <si>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</si>
  <si>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</si>
  <si>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</si>
  <si>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</si>
  <si>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</si>
  <si>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</si>
  <si>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</si>
  <si>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</si>
  <si>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</si>
  <si>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</si>
  <si>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</si>
  <si>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</si>
  <si>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</si>
  <si>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</si>
  <si>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</si>
  <si>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</si>
  <si>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</si>
  <si>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</si>
  <si>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</si>
  <si>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</si>
  <si>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</si>
  <si>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</si>
  <si>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</si>
  <si>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</si>
  <si>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</si>
  <si>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</si>
  <si>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</si>
  <si>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</si>
  <si>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</si>
  <si>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</si>
  <si>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</si>
  <si>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</si>
  <si>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</si>
  <si>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</si>
  <si>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</si>
  <si>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</si>
  <si>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</si>
  <si>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</si>
  <si>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</si>
  <si>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</si>
  <si>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</si>
  <si>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</si>
  <si>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</si>
  <si>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</si>
  <si>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</si>
  <si>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</si>
  <si>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</si>
  <si>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</si>
  <si>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</si>
  <si>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</si>
  <si>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</si>
  <si>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</si>
  <si>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</si>
  <si>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</si>
  <si>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</si>
  <si>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</si>
  <si>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</si>
  <si>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</si>
  <si>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</si>
  <si>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</si>
  <si>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</si>
  <si>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</si>
  <si>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</si>
  <si>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</si>
  <si>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</si>
  <si>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</si>
  <si>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</si>
  <si>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</si>
  <si>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</si>
  <si>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</si>
  <si>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</si>
  <si>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</si>
  <si>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</si>
  <si>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</si>
  <si>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</si>
  <si>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</si>
  <si>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</si>
  <si>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</si>
  <si>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</si>
  <si>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</si>
  <si>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</si>
  <si>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</si>
  <si>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</si>
  <si>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</si>
  <si>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</si>
  <si>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</si>
  <si>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</si>
  <si>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</si>
  <si>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</si>
  <si>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</si>
  <si>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</si>
  <si>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</si>
  <si>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</si>
  <si>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</si>
  <si>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</si>
  <si>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</si>
  <si>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</si>
  <si>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</si>
  <si>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</si>
  <si>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</si>
  <si>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</si>
  <si>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</si>
  <si>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</si>
  <si>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</si>
  <si>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</si>
  <si>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</si>
  <si>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</si>
  <si>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</si>
  <si>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</si>
  <si>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</si>
  <si>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</si>
  <si>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</si>
  <si>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</si>
  <si>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</si>
  <si>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</si>
  <si>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</si>
  <si>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</si>
  <si>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</si>
  <si>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</si>
  <si>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</si>
  <si>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</si>
  <si>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</si>
  <si>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</si>
  <si>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</si>
  <si>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</si>
  <si>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</si>
  <si>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</si>
  <si>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</si>
  <si>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</si>
  <si>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</si>
  <si>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</si>
  <si>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</si>
  <si>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</si>
  <si>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</si>
  <si>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</si>
  <si>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</si>
  <si>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</si>
  <si>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</si>
  <si>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</si>
  <si>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</si>
  <si>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</si>
  <si>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</si>
  <si>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</si>
  <si>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</si>
  <si>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</si>
  <si>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</si>
  <si>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</si>
  <si>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</si>
  <si>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</si>
  <si>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</si>
  <si>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</si>
  <si>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</si>
  <si>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</si>
  <si>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</si>
  <si>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</si>
  <si>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</si>
  <si>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</si>
  <si>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</si>
  <si>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</si>
  <si>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</si>
  <si>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</si>
  <si>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</si>
  <si>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</si>
  <si>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</si>
  <si>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</si>
  <si>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</si>
  <si>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</si>
  <si>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</si>
  <si>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</si>
  <si>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</si>
  <si>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</si>
  <si>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</si>
  <si>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</si>
  <si>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</si>
  <si>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</si>
  <si>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</si>
  <si>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</si>
  <si>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</si>
  <si>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</si>
  <si>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</si>
  <si>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</si>
  <si>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</si>
  <si>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</si>
  <si>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</si>
  <si>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</si>
  <si>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</si>
  <si>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</si>
  <si>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</si>
  <si>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</si>
  <si>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</si>
  <si>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</si>
  <si>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</si>
  <si>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</si>
  <si>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</si>
  <si>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</si>
  <si>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</si>
  <si>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</si>
  <si>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</si>
  <si>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</si>
  <si>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</si>
  <si>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</si>
  <si>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</si>
  <si>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</si>
  <si>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</si>
  <si>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</si>
  <si>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</si>
  <si>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</si>
  <si>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</si>
  <si>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</si>
  <si>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</si>
  <si>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</si>
  <si>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</si>
  <si>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</si>
  <si>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</si>
  <si>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</si>
  <si>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</si>
  <si>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</si>
  <si>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</si>
  <si>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</si>
  <si>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</si>
  <si>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</si>
  <si>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</si>
  <si>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</si>
  <si>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</si>
  <si>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</si>
  <si>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</si>
  <si>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</si>
  <si>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</si>
  <si>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</si>
  <si>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</si>
  <si>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</si>
  <si>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</si>
  <si>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</si>
  <si>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</si>
  <si>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</si>
  <si>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</si>
  <si>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</si>
  <si>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</si>
  <si>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</si>
  <si>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</si>
  <si>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</si>
  <si>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</si>
  <si>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</si>
  <si>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</si>
  <si>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</si>
  <si>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</si>
  <si>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</si>
  <si>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</si>
  <si>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</si>
  <si>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</si>
  <si>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</si>
  <si>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</si>
  <si>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</si>
  <si>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</si>
  <si>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</si>
  <si>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</si>
  <si>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</si>
  <si>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</si>
  <si>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</si>
  <si>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</si>
  <si>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</si>
  <si>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</si>
  <si>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</si>
  <si>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</si>
  <si>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</si>
  <si>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</si>
  <si>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</si>
  <si>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</si>
  <si>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</si>
  <si>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</si>
  <si>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</si>
  <si>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</si>
  <si>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</si>
  <si>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</si>
  <si>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</si>
  <si>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</si>
  <si>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</si>
  <si>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</si>
  <si>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</si>
  <si>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</si>
  <si>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</si>
  <si>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</si>
  <si>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</si>
  <si>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</si>
  <si>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</si>
  <si>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</si>
  <si>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</si>
  <si>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</si>
  <si>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</si>
  <si>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</si>
  <si>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</si>
  <si>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</si>
  <si>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</si>
  <si>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</si>
  <si>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</si>
  <si>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</si>
  <si>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</si>
  <si>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</si>
  <si>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</si>
  <si>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</si>
  <si>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</si>
  <si>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</si>
  <si>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</si>
  <si>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</si>
  <si>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</si>
  <si>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</si>
  <si>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</si>
  <si>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</si>
  <si>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</si>
  <si>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</si>
  <si>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</si>
  <si>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</si>
  <si>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</si>
  <si>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</si>
  <si>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</si>
  <si>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</si>
  <si>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</si>
  <si>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</si>
  <si>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</si>
  <si>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</si>
  <si>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</si>
  <si>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</si>
  <si>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</si>
  <si>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</si>
  <si>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</si>
  <si>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</si>
  <si>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</si>
  <si>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</si>
  <si>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</si>
  <si>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</si>
  <si>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</si>
  <si>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</si>
  <si>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</si>
  <si>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</si>
  <si>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</si>
  <si>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</si>
  <si>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</si>
  <si>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</si>
  <si>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</si>
  <si>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</si>
  <si>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</si>
  <si>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</si>
  <si>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</si>
  <si>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</si>
  <si>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</si>
  <si>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</si>
  <si>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</si>
  <si>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</si>
  <si>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</si>
  <si>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</si>
  <si>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</si>
  <si>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</si>
  <si>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</si>
  <si>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</si>
  <si>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</si>
  <si>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</si>
  <si>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</si>
  <si>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</si>
  <si>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</si>
  <si>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</si>
  <si>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</si>
  <si>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</si>
  <si>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</si>
  <si>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</si>
  <si>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</si>
  <si>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</si>
  <si>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</si>
  <si>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</si>
  <si>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</si>
  <si>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</si>
  <si>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</si>
  <si>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</si>
  <si>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</si>
  <si>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</si>
  <si>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</si>
  <si>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</si>
  <si>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</si>
  <si>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</si>
  <si>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</si>
  <si>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</si>
  <si>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</si>
  <si>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</si>
  <si>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</si>
  <si>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</si>
  <si>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</si>
  <si>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</si>
  <si>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</si>
  <si>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</si>
  <si>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</si>
  <si>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</si>
  <si>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</si>
  <si>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</si>
  <si>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</si>
  <si>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</si>
  <si>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</si>
  <si>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</si>
  <si>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</si>
  <si>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</si>
  <si>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</si>
  <si>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</si>
  <si>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</si>
  <si>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</si>
  <si>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</si>
  <si>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</si>
  <si>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</si>
  <si>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</si>
  <si>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</si>
  <si>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</si>
  <si>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</si>
  <si>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</si>
  <si>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</si>
  <si>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</si>
  <si>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</si>
  <si>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</si>
  <si>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</si>
  <si>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</si>
  <si>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</si>
  <si>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</si>
  <si>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</si>
  <si>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</si>
  <si>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</si>
  <si>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</si>
  <si>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</si>
  <si>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</si>
  <si>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</si>
  <si>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</si>
  <si>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</si>
  <si>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</si>
  <si>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</si>
  <si>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</si>
  <si>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</si>
  <si>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</si>
  <si>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</si>
  <si>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</si>
  <si>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12002</t>
  </si>
  <si>
    <t>BERLAAR</t>
  </si>
  <si>
    <t>Paarden&amp;pony's 200 - 600 kg</t>
  </si>
  <si>
    <t>Paarden&amp;pony's &lt; 200 kg</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</si>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</sst>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12002</v>
      </c>
      <c r="B6" s="397"/>
      <c r="C6" s="398"/>
    </row>
    <row r="7" spans="1:7" s="395" customFormat="1" ht="15.75" customHeight="1">
      <c r="A7" s="399" t="str">
        <f>txtMunicipality</f>
        <v>BERLAAR</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12002</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4440</v>
      </c>
      <c r="C9" s="338">
        <v>4809</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1278</v>
      </c>
    </row>
    <row r="15" spans="1:6">
      <c r="A15" s="1260" t="s">
        <v>184</v>
      </c>
      <c r="B15" s="335">
        <v>10</v>
      </c>
    </row>
    <row r="16" spans="1:6">
      <c r="A16" s="1260" t="s">
        <v>6</v>
      </c>
      <c r="B16" s="335">
        <v>522</v>
      </c>
    </row>
    <row r="17" spans="1:6">
      <c r="A17" s="1260" t="s">
        <v>7</v>
      </c>
      <c r="B17" s="335">
        <v>75</v>
      </c>
    </row>
    <row r="18" spans="1:6">
      <c r="A18" s="1260" t="s">
        <v>8</v>
      </c>
      <c r="B18" s="335">
        <v>358</v>
      </c>
    </row>
    <row r="19" spans="1:6">
      <c r="A19" s="1260" t="s">
        <v>9</v>
      </c>
      <c r="B19" s="335">
        <v>374</v>
      </c>
    </row>
    <row r="20" spans="1:6">
      <c r="A20" s="1260" t="s">
        <v>10</v>
      </c>
      <c r="B20" s="335">
        <v>304</v>
      </c>
    </row>
    <row r="21" spans="1:6">
      <c r="A21" s="1260" t="s">
        <v>11</v>
      </c>
      <c r="B21" s="335">
        <v>615</v>
      </c>
    </row>
    <row r="22" spans="1:6">
      <c r="A22" s="1260" t="s">
        <v>12</v>
      </c>
      <c r="B22" s="335">
        <v>2219</v>
      </c>
    </row>
    <row r="23" spans="1:6">
      <c r="A23" s="1260" t="s">
        <v>13</v>
      </c>
      <c r="B23" s="335">
        <v>0</v>
      </c>
    </row>
    <row r="24" spans="1:6">
      <c r="A24" s="1260" t="s">
        <v>14</v>
      </c>
      <c r="B24" s="335">
        <v>0</v>
      </c>
    </row>
    <row r="25" spans="1:6">
      <c r="A25" s="1260" t="s">
        <v>15</v>
      </c>
      <c r="B25" s="335">
        <v>0</v>
      </c>
    </row>
    <row r="26" spans="1:6">
      <c r="A26" s="1260" t="s">
        <v>16</v>
      </c>
      <c r="B26" s="335">
        <v>359</v>
      </c>
    </row>
    <row r="27" spans="1:6">
      <c r="A27" s="1260" t="s">
        <v>17</v>
      </c>
      <c r="B27" s="335">
        <v>0</v>
      </c>
    </row>
    <row r="28" spans="1:6" s="341" customFormat="1">
      <c r="A28" s="1261" t="s">
        <v>18</v>
      </c>
      <c r="B28" s="1261">
        <v>0</v>
      </c>
    </row>
    <row r="29" spans="1:6">
      <c r="A29" s="1261" t="s">
        <v>910</v>
      </c>
      <c r="B29" s="1261">
        <v>85</v>
      </c>
      <c r="C29" s="341"/>
      <c r="D29" s="341"/>
      <c r="E29" s="341"/>
      <c r="F29" s="341"/>
    </row>
    <row r="30" spans="1:6">
      <c r="A30" s="1256" t="s">
        <v>911</v>
      </c>
      <c r="B30" s="1256">
        <v>31</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1</v>
      </c>
      <c r="F38" s="335">
        <v>4076.9352138186</v>
      </c>
    </row>
    <row r="39" spans="1:6">
      <c r="A39" s="1260" t="s">
        <v>30</v>
      </c>
      <c r="B39" s="1260" t="s">
        <v>31</v>
      </c>
      <c r="C39" s="335">
        <v>2964</v>
      </c>
      <c r="D39" s="335">
        <v>58583505.1973432</v>
      </c>
      <c r="E39" s="335">
        <v>4375</v>
      </c>
      <c r="F39" s="335">
        <v>17683640.491300602</v>
      </c>
    </row>
    <row r="40" spans="1:6">
      <c r="A40" s="1260" t="s">
        <v>30</v>
      </c>
      <c r="B40" s="1260" t="s">
        <v>29</v>
      </c>
      <c r="C40" s="335">
        <v>0</v>
      </c>
      <c r="D40" s="335">
        <v>0</v>
      </c>
      <c r="E40" s="335">
        <v>0</v>
      </c>
      <c r="F40" s="335">
        <v>0</v>
      </c>
    </row>
    <row r="41" spans="1:6">
      <c r="A41" s="1260" t="s">
        <v>32</v>
      </c>
      <c r="B41" s="1260" t="s">
        <v>33</v>
      </c>
      <c r="C41" s="335">
        <v>25</v>
      </c>
      <c r="D41" s="335">
        <v>959543.80551054701</v>
      </c>
      <c r="E41" s="335">
        <v>71</v>
      </c>
      <c r="F41" s="335">
        <v>924106.62704463198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6</v>
      </c>
      <c r="F44" s="335">
        <v>76391.520774574907</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14</v>
      </c>
      <c r="D48" s="335">
        <v>394869.50835657801</v>
      </c>
      <c r="E48" s="335">
        <v>25</v>
      </c>
      <c r="F48" s="335">
        <v>555577.31900264602</v>
      </c>
    </row>
    <row r="49" spans="1:6">
      <c r="A49" s="1260" t="s">
        <v>32</v>
      </c>
      <c r="B49" s="1260" t="s">
        <v>40</v>
      </c>
      <c r="C49" s="335">
        <v>0</v>
      </c>
      <c r="D49" s="335">
        <v>0</v>
      </c>
      <c r="E49" s="335">
        <v>0</v>
      </c>
      <c r="F49" s="335">
        <v>0</v>
      </c>
    </row>
    <row r="50" spans="1:6">
      <c r="A50" s="1260" t="s">
        <v>32</v>
      </c>
      <c r="B50" s="1260" t="s">
        <v>41</v>
      </c>
      <c r="C50" s="335">
        <v>4</v>
      </c>
      <c r="D50" s="335">
        <v>627126.97861038905</v>
      </c>
      <c r="E50" s="335">
        <v>8</v>
      </c>
      <c r="F50" s="335">
        <v>286212.81435722002</v>
      </c>
    </row>
    <row r="51" spans="1:6">
      <c r="A51" s="1260" t="s">
        <v>42</v>
      </c>
      <c r="B51" s="1260" t="s">
        <v>43</v>
      </c>
      <c r="C51" s="335">
        <v>5</v>
      </c>
      <c r="D51" s="335">
        <v>82813011.874402598</v>
      </c>
      <c r="E51" s="335">
        <v>39</v>
      </c>
      <c r="F51" s="335">
        <v>807754.04673144</v>
      </c>
    </row>
    <row r="52" spans="1:6">
      <c r="A52" s="1260" t="s">
        <v>42</v>
      </c>
      <c r="B52" s="1260" t="s">
        <v>29</v>
      </c>
      <c r="C52" s="335">
        <v>3</v>
      </c>
      <c r="D52" s="335">
        <v>1044507.75388006</v>
      </c>
      <c r="E52" s="335">
        <v>4</v>
      </c>
      <c r="F52" s="335">
        <v>21030.370097244398</v>
      </c>
    </row>
    <row r="53" spans="1:6">
      <c r="A53" s="1260" t="s">
        <v>44</v>
      </c>
      <c r="B53" s="1260" t="s">
        <v>45</v>
      </c>
      <c r="C53" s="335">
        <v>58</v>
      </c>
      <c r="D53" s="335">
        <v>2156528.1151737501</v>
      </c>
      <c r="E53" s="335">
        <v>103</v>
      </c>
      <c r="F53" s="335">
        <v>1519631.0344384799</v>
      </c>
    </row>
    <row r="54" spans="1:6">
      <c r="A54" s="1260" t="s">
        <v>46</v>
      </c>
      <c r="B54" s="1260" t="s">
        <v>47</v>
      </c>
      <c r="C54" s="335">
        <v>0</v>
      </c>
      <c r="D54" s="335">
        <v>0</v>
      </c>
      <c r="E54" s="335">
        <v>1</v>
      </c>
      <c r="F54" s="335">
        <v>663746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19</v>
      </c>
      <c r="D57" s="335">
        <v>401696.41340007598</v>
      </c>
      <c r="E57" s="335">
        <v>45</v>
      </c>
      <c r="F57" s="335">
        <v>945562.13206219405</v>
      </c>
    </row>
    <row r="58" spans="1:6">
      <c r="A58" s="1260" t="s">
        <v>49</v>
      </c>
      <c r="B58" s="1260" t="s">
        <v>51</v>
      </c>
      <c r="C58" s="335">
        <v>6</v>
      </c>
      <c r="D58" s="335">
        <v>120420.767784981</v>
      </c>
      <c r="E58" s="335">
        <v>7</v>
      </c>
      <c r="F58" s="335">
        <v>90532.544037525804</v>
      </c>
    </row>
    <row r="59" spans="1:6">
      <c r="A59" s="1260" t="s">
        <v>49</v>
      </c>
      <c r="B59" s="1260" t="s">
        <v>52</v>
      </c>
      <c r="C59" s="335">
        <v>40</v>
      </c>
      <c r="D59" s="335">
        <v>987774.32770839799</v>
      </c>
      <c r="E59" s="335">
        <v>90</v>
      </c>
      <c r="F59" s="335">
        <v>3076934.7258655299</v>
      </c>
    </row>
    <row r="60" spans="1:6">
      <c r="A60" s="1260" t="s">
        <v>49</v>
      </c>
      <c r="B60" s="1260" t="s">
        <v>53</v>
      </c>
      <c r="C60" s="335">
        <v>31</v>
      </c>
      <c r="D60" s="335">
        <v>1250311.18620846</v>
      </c>
      <c r="E60" s="335">
        <v>48</v>
      </c>
      <c r="F60" s="335">
        <v>853294.01597299997</v>
      </c>
    </row>
    <row r="61" spans="1:6">
      <c r="A61" s="1260" t="s">
        <v>49</v>
      </c>
      <c r="B61" s="1260" t="s">
        <v>54</v>
      </c>
      <c r="C61" s="335">
        <v>87</v>
      </c>
      <c r="D61" s="335">
        <v>3516073.0156620499</v>
      </c>
      <c r="E61" s="335">
        <v>205</v>
      </c>
      <c r="F61" s="335">
        <v>2251834.0711501902</v>
      </c>
    </row>
    <row r="62" spans="1:6">
      <c r="A62" s="1260" t="s">
        <v>49</v>
      </c>
      <c r="B62" s="1260" t="s">
        <v>55</v>
      </c>
      <c r="C62" s="335">
        <v>4</v>
      </c>
      <c r="D62" s="335">
        <v>201249.37267390999</v>
      </c>
      <c r="E62" s="335">
        <v>0</v>
      </c>
      <c r="F62" s="335">
        <v>0</v>
      </c>
    </row>
    <row r="63" spans="1:6">
      <c r="A63" s="1260" t="s">
        <v>49</v>
      </c>
      <c r="B63" s="1260" t="s">
        <v>29</v>
      </c>
      <c r="C63" s="335">
        <v>78</v>
      </c>
      <c r="D63" s="335">
        <v>5718851.2689209599</v>
      </c>
      <c r="E63" s="335">
        <v>95</v>
      </c>
      <c r="F63" s="335">
        <v>2724211.6547398702</v>
      </c>
    </row>
    <row r="64" spans="1:6">
      <c r="A64" s="1260" t="s">
        <v>56</v>
      </c>
      <c r="B64" s="1260" t="s">
        <v>57</v>
      </c>
      <c r="C64" s="335">
        <v>0</v>
      </c>
      <c r="D64" s="335">
        <v>0</v>
      </c>
      <c r="E64" s="335">
        <v>0</v>
      </c>
      <c r="F64" s="335">
        <v>0</v>
      </c>
    </row>
    <row r="65" spans="1:6">
      <c r="A65" s="1260" t="s">
        <v>56</v>
      </c>
      <c r="B65" s="1260" t="s">
        <v>29</v>
      </c>
      <c r="C65" s="335">
        <v>0</v>
      </c>
      <c r="D65" s="335">
        <v>0</v>
      </c>
      <c r="E65" s="335">
        <v>1</v>
      </c>
      <c r="F65" s="335">
        <v>4511.0154024996</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33327.376594014597</v>
      </c>
      <c r="E68" s="335">
        <v>9</v>
      </c>
      <c r="F68" s="335">
        <v>70717.051661580204</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51691556</v>
      </c>
      <c r="E73" s="335">
        <v>39271175.270700134</v>
      </c>
    </row>
    <row r="74" spans="1:6">
      <c r="A74" s="1260" t="s">
        <v>64</v>
      </c>
      <c r="B74" s="1260" t="s">
        <v>772</v>
      </c>
      <c r="C74" s="1271" t="s">
        <v>766</v>
      </c>
      <c r="D74" s="335">
        <v>2470423.1018430768</v>
      </c>
      <c r="E74" s="335">
        <v>3589761.4591423152</v>
      </c>
    </row>
    <row r="75" spans="1:6">
      <c r="A75" s="1260" t="s">
        <v>65</v>
      </c>
      <c r="B75" s="1260" t="s">
        <v>771</v>
      </c>
      <c r="C75" s="1271" t="s">
        <v>767</v>
      </c>
      <c r="D75" s="335">
        <v>7227379</v>
      </c>
      <c r="E75" s="335">
        <v>5533174.9406044483</v>
      </c>
    </row>
    <row r="76" spans="1:6">
      <c r="A76" s="1260" t="s">
        <v>65</v>
      </c>
      <c r="B76" s="1260" t="s">
        <v>772</v>
      </c>
      <c r="C76" s="1271" t="s">
        <v>768</v>
      </c>
      <c r="D76" s="335">
        <v>7409.3</v>
      </c>
      <c r="E76" s="335">
        <v>42375.521010337092</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142729.79631384675</v>
      </c>
      <c r="C83" s="335">
        <v>134357.47544764268</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1519.2455521791819</v>
      </c>
    </row>
    <row r="92" spans="1:6">
      <c r="A92" s="1256" t="s">
        <v>69</v>
      </c>
      <c r="B92" s="338">
        <v>388.45384383015494</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2012</v>
      </c>
    </row>
    <row r="98" spans="1:6">
      <c r="A98" s="1260" t="s">
        <v>72</v>
      </c>
      <c r="B98" s="335">
        <v>4</v>
      </c>
    </row>
    <row r="99" spans="1:6">
      <c r="A99" s="1260" t="s">
        <v>73</v>
      </c>
      <c r="B99" s="335">
        <v>39</v>
      </c>
    </row>
    <row r="100" spans="1:6">
      <c r="A100" s="1260" t="s">
        <v>74</v>
      </c>
      <c r="B100" s="335">
        <v>182</v>
      </c>
    </row>
    <row r="101" spans="1:6">
      <c r="A101" s="1260" t="s">
        <v>75</v>
      </c>
      <c r="B101" s="335">
        <v>46</v>
      </c>
    </row>
    <row r="102" spans="1:6">
      <c r="A102" s="1260" t="s">
        <v>76</v>
      </c>
      <c r="B102" s="335">
        <v>34</v>
      </c>
    </row>
    <row r="103" spans="1:6">
      <c r="A103" s="1260" t="s">
        <v>77</v>
      </c>
      <c r="B103" s="335">
        <v>111</v>
      </c>
    </row>
    <row r="104" spans="1:6">
      <c r="A104" s="1260" t="s">
        <v>78</v>
      </c>
      <c r="B104" s="335">
        <v>1499</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9</v>
      </c>
      <c r="C123" s="335">
        <v>7</v>
      </c>
    </row>
    <row r="124" spans="1:6">
      <c r="A124" s="1256" t="s">
        <v>89</v>
      </c>
      <c r="B124" s="335">
        <v>0</v>
      </c>
      <c r="C124" s="335">
        <v>1</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26</v>
      </c>
    </row>
    <row r="130" spans="1:6">
      <c r="A130" s="1260" t="s">
        <v>295</v>
      </c>
      <c r="B130" s="335">
        <v>0</v>
      </c>
    </row>
    <row r="131" spans="1:6">
      <c r="A131" s="1260" t="s">
        <v>296</v>
      </c>
      <c r="B131" s="335">
        <v>0</v>
      </c>
    </row>
    <row r="132" spans="1:6">
      <c r="A132" s="1256" t="s">
        <v>297</v>
      </c>
      <c r="B132" s="338">
        <v>4</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32481.313541397347</v>
      </c>
      <c r="C3" s="44" t="s">
        <v>170</v>
      </c>
      <c r="D3" s="44"/>
      <c r="E3" s="157"/>
      <c r="F3" s="44"/>
      <c r="G3" s="44"/>
      <c r="H3" s="44"/>
      <c r="I3" s="44"/>
      <c r="J3" s="44"/>
      <c r="K3" s="97"/>
    </row>
    <row r="4" spans="1:11">
      <c r="A4" s="365" t="s">
        <v>171</v>
      </c>
      <c r="B4" s="50">
        <f>IF(ISERROR('SEAP template'!B69),0,'SEAP template'!B69)</f>
        <v>24803.699396009339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5441.1670588235302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0.21975465295937063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7773.0957983193293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32708.571428571431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663.74599999999998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663.74599999999998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0.21975465295937063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145.86127188317042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17683.640491300601</v>
      </c>
      <c r="C5" s="18">
        <f>IF(ISERROR('Eigen informatie GS &amp; warmtenet'!B57),0,'Eigen informatie GS &amp; warmtenet'!B57)</f>
        <v>0</v>
      </c>
      <c r="D5" s="31">
        <f>(SUM(HH_hh_gas_kWh,HH_rest_gas_kWh)/1000)*0.902</f>
        <v>52842.321688003569</v>
      </c>
      <c r="E5" s="18">
        <f>B46*B57</f>
        <v>2591.1375282404333</v>
      </c>
      <c r="F5" s="18">
        <f>B51*B62</f>
        <v>12676.953690804932</v>
      </c>
      <c r="G5" s="19"/>
      <c r="H5" s="18"/>
      <c r="I5" s="18"/>
      <c r="J5" s="18">
        <f>B50*B61+C50*C61</f>
        <v>498.60089737985925</v>
      </c>
      <c r="K5" s="18"/>
      <c r="L5" s="18"/>
      <c r="M5" s="18"/>
      <c r="N5" s="18">
        <f>B48*B59+C48*C59</f>
        <v>9925.1830121953062</v>
      </c>
      <c r="O5" s="18">
        <f>B69*B70*B71</f>
        <v>53.153333333333336</v>
      </c>
      <c r="P5" s="18">
        <f>B77*B78*B79/1000-B77*B78*B79/1000/B80</f>
        <v>247.86666666666667</v>
      </c>
    </row>
    <row r="6" spans="1:16">
      <c r="A6" s="17" t="s">
        <v>639</v>
      </c>
      <c r="B6" s="831">
        <f>kWh_PV_kleiner_dan_10kW</f>
        <v>1519.2455521791819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19202.886043479783</v>
      </c>
      <c r="C8" s="22">
        <f>C5</f>
        <v>0</v>
      </c>
      <c r="D8" s="22">
        <f>D5</f>
        <v>52842.321688003569</v>
      </c>
      <c r="E8" s="22">
        <f>E5</f>
        <v>2591.1375282404333</v>
      </c>
      <c r="F8" s="22">
        <f>F5</f>
        <v>12676.953690804932</v>
      </c>
      <c r="G8" s="22"/>
      <c r="H8" s="22"/>
      <c r="I8" s="22"/>
      <c r="J8" s="22">
        <f>J5</f>
        <v>498.60089737985925</v>
      </c>
      <c r="K8" s="22"/>
      <c r="L8" s="22">
        <f>L5</f>
        <v>0</v>
      </c>
      <c r="M8" s="22">
        <f>M5</f>
        <v>0</v>
      </c>
      <c r="N8" s="22">
        <f>N5</f>
        <v>9925.1830121953062</v>
      </c>
      <c r="O8" s="22">
        <f>O5</f>
        <v>53.153333333333336</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0.21975465295937063</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4219.9235583032414</v>
      </c>
      <c r="C12" s="24">
        <f ca="1">C10*C8</f>
        <v>0</v>
      </c>
      <c r="D12" s="24">
        <f>D8*D10</f>
        <v>10674.148980976721</v>
      </c>
      <c r="E12" s="24">
        <f>E10*E8</f>
        <v>588.18821891057837</v>
      </c>
      <c r="F12" s="24">
        <f>F10*F8</f>
        <v>3384.746635444917</v>
      </c>
      <c r="G12" s="24"/>
      <c r="H12" s="24"/>
      <c r="I12" s="24"/>
      <c r="J12" s="24">
        <f>J10*J8</f>
        <v>176.50471767247018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2012</v>
      </c>
      <c r="C18" s="169" t="s">
        <v>111</v>
      </c>
      <c r="D18" s="231"/>
      <c r="E18" s="16"/>
    </row>
    <row r="19" spans="1:7">
      <c r="A19" s="174" t="s">
        <v>72</v>
      </c>
      <c r="B19" s="38">
        <f>aantalw2001_ander</f>
        <v>4</v>
      </c>
      <c r="C19" s="169" t="s">
        <v>111</v>
      </c>
      <c r="D19" s="232"/>
      <c r="E19" s="16"/>
    </row>
    <row r="20" spans="1:7">
      <c r="A20" s="174" t="s">
        <v>73</v>
      </c>
      <c r="B20" s="38">
        <f>aantalw2001_propaan</f>
        <v>39</v>
      </c>
      <c r="C20" s="170">
        <f>IF(ISERROR(B20/SUM($B$20,$B$21,$B$22)*100),0,B20/SUM($B$20,$B$21,$B$22)*100)</f>
        <v>14.606741573033707</v>
      </c>
      <c r="D20" s="232"/>
      <c r="E20" s="16"/>
    </row>
    <row r="21" spans="1:7">
      <c r="A21" s="174" t="s">
        <v>74</v>
      </c>
      <c r="B21" s="38">
        <f>aantalw2001_elektriciteit</f>
        <v>182</v>
      </c>
      <c r="C21" s="170">
        <f>IF(ISERROR(B21/SUM($B$20,$B$21,$B$22)*100),0,B21/SUM($B$20,$B$21,$B$22)*100)</f>
        <v>68.164794007490642</v>
      </c>
      <c r="D21" s="232"/>
      <c r="E21" s="16"/>
    </row>
    <row r="22" spans="1:7">
      <c r="A22" s="174" t="s">
        <v>75</v>
      </c>
      <c r="B22" s="38">
        <f>aantalw2001_hout</f>
        <v>46</v>
      </c>
      <c r="C22" s="170">
        <f>IF(ISERROR(B22/SUM($B$20,$B$21,$B$22)*100),0,B22/SUM($B$20,$B$21,$B$22)*100)</f>
        <v>17.228464419475657</v>
      </c>
      <c r="D22" s="232"/>
      <c r="E22" s="16"/>
    </row>
    <row r="23" spans="1:7">
      <c r="A23" s="174" t="s">
        <v>76</v>
      </c>
      <c r="B23" s="38">
        <f>aantalw2001_niet_gespec</f>
        <v>34</v>
      </c>
      <c r="C23" s="169" t="s">
        <v>111</v>
      </c>
      <c r="D23" s="231"/>
      <c r="E23" s="16"/>
    </row>
    <row r="24" spans="1:7">
      <c r="A24" s="174" t="s">
        <v>77</v>
      </c>
      <c r="B24" s="38">
        <f>aantalw2001_steenkool</f>
        <v>111</v>
      </c>
      <c r="C24" s="169" t="s">
        <v>111</v>
      </c>
      <c r="D24" s="232"/>
      <c r="E24" s="16"/>
    </row>
    <row r="25" spans="1:7">
      <c r="A25" s="174" t="s">
        <v>78</v>
      </c>
      <c r="B25" s="38">
        <f>aantalw2001_stookolie</f>
        <v>1499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4440</v>
      </c>
      <c r="C28" s="37"/>
      <c r="D28" s="231"/>
    </row>
    <row r="29" spans="1:7" s="16" customFormat="1">
      <c r="A29" s="233" t="s">
        <v>666</v>
      </c>
      <c r="B29" s="38">
        <f>SUM(HH_hh_gas_aantal,HH_rest_gas_aantal)</f>
        <v>2964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2964</v>
      </c>
      <c r="C32" s="170">
        <f>IF(ISERROR(B32/SUM($B$32,$B$34,$B$35,$B$36,$B$38,$B$39)*100),0,B32/SUM($B$32,$B$34,$B$35,$B$36,$B$38,$B$39)*100)</f>
        <v>66.952789699570801</v>
      </c>
      <c r="D32" s="236"/>
      <c r="G32" s="16"/>
    </row>
    <row r="33" spans="1:7">
      <c r="A33" s="174" t="s">
        <v>72</v>
      </c>
      <c r="B33" s="35" t="s">
        <v>111</v>
      </c>
      <c r="C33" s="170"/>
      <c r="D33" s="236"/>
      <c r="G33" s="16"/>
    </row>
    <row r="34" spans="1:7">
      <c r="A34" s="174" t="s">
        <v>73</v>
      </c>
      <c r="B34" s="34">
        <f>IF((($B$28-$B$32-$B$39-$B$77-$B$38)*C20/100)&lt;0,0,($B$28-$B$32-$B$39-$B$77-$B$38)*C20/100)</f>
        <v>117.58426966292136</v>
      </c>
      <c r="C34" s="170">
        <f>IF(ISERROR(B34/SUM($B$32,$B$34,$B$35,$B$36,$B$38,$B$39)*100),0,B34/SUM($B$32,$B$34,$B$35,$B$36,$B$38,$B$39)*100)</f>
        <v>2.6560711466663953</v>
      </c>
      <c r="D34" s="236"/>
      <c r="G34" s="16"/>
    </row>
    <row r="35" spans="1:7">
      <c r="A35" s="174" t="s">
        <v>74</v>
      </c>
      <c r="B35" s="34">
        <f>IF((($B$28-$B$32-$B$39-$B$77-$B$38)*C21/100)&lt;0,0,($B$28-$B$32-$B$39-$B$77-$B$38)*C21/100)</f>
        <v>548.7265917602997</v>
      </c>
      <c r="C35" s="170">
        <f>IF(ISERROR(B35/SUM($B$32,$B$34,$B$35,$B$36,$B$38,$B$39)*100),0,B35/SUM($B$32,$B$34,$B$35,$B$36,$B$38,$B$39)*100)</f>
        <v>12.394998684443181</v>
      </c>
      <c r="D35" s="236"/>
      <c r="G35" s="16"/>
    </row>
    <row r="36" spans="1:7">
      <c r="A36" s="174" t="s">
        <v>75</v>
      </c>
      <c r="B36" s="34">
        <f>IF((($B$28-$B$32-$B$39-$B$77-$B$38)*C22/100)&lt;0,0,($B$28-$B$32-$B$39-$B$77-$B$38)*C22/100)</f>
        <v>138.68913857677907</v>
      </c>
      <c r="C36" s="170">
        <f>IF(ISERROR(B36/SUM($B$32,$B$34,$B$35,$B$36,$B$38,$B$39)*100),0,B36/SUM($B$32,$B$34,$B$35,$B$36,$B$38,$B$39)*100)</f>
        <v>3.1328018652988265</v>
      </c>
      <c r="D36" s="236"/>
      <c r="G36" s="16"/>
    </row>
    <row r="37" spans="1:7">
      <c r="A37" s="174" t="s">
        <v>76</v>
      </c>
      <c r="B37" s="35" t="s">
        <v>111</v>
      </c>
      <c r="C37" s="170"/>
      <c r="D37" s="176"/>
      <c r="G37" s="16"/>
    </row>
    <row r="38" spans="1:7">
      <c r="A38" s="174" t="s">
        <v>77</v>
      </c>
      <c r="B38" s="34">
        <f>IF((B24-(B29-B18)*0.1)&lt;0,0,B24-(B29-B18)*0.1)</f>
        <v>15.799999999999997</v>
      </c>
      <c r="C38" s="170">
        <f>IF(ISERROR(B38/SUM($B$32,$B$34,$B$35,$B$36,$B$38,$B$39)*100),0,B38/SUM($B$32,$B$34,$B$35,$B$36,$B$38,$B$39)*100)</f>
        <v>0.35690083578043807</v>
      </c>
      <c r="D38" s="237"/>
      <c r="G38" s="16"/>
    </row>
    <row r="39" spans="1:7">
      <c r="A39" s="174" t="s">
        <v>78</v>
      </c>
      <c r="B39" s="34">
        <f>IF((B25-(B29-B18))&lt;0,0,B25-(B29-B18)*0.9)</f>
        <v>642.19999999999993</v>
      </c>
      <c r="C39" s="170">
        <f>IF(ISERROR(B39/SUM($B$32,$B$34,$B$35,$B$36,$B$38,$B$39)*100),0,B39/SUM($B$32,$B$34,$B$35,$B$36,$B$38,$B$39)*100)</f>
        <v>14.506437768240337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2964</v>
      </c>
      <c r="C44" s="35" t="s">
        <v>111</v>
      </c>
      <c r="D44" s="177"/>
    </row>
    <row r="45" spans="1:7">
      <c r="A45" s="174" t="s">
        <v>72</v>
      </c>
      <c r="B45" s="34" t="str">
        <f t="shared" si="0"/>
        <v>-</v>
      </c>
      <c r="C45" s="35" t="s">
        <v>111</v>
      </c>
      <c r="D45" s="177"/>
    </row>
    <row r="46" spans="1:7">
      <c r="A46" s="174" t="s">
        <v>73</v>
      </c>
      <c r="B46" s="34">
        <f t="shared" si="0"/>
        <v>117.58426966292136</v>
      </c>
      <c r="C46" s="35" t="s">
        <v>111</v>
      </c>
      <c r="D46" s="177"/>
    </row>
    <row r="47" spans="1:7">
      <c r="A47" s="174" t="s">
        <v>74</v>
      </c>
      <c r="B47" s="34">
        <f t="shared" si="0"/>
        <v>548.7265917602997</v>
      </c>
      <c r="C47" s="35" t="s">
        <v>111</v>
      </c>
      <c r="D47" s="177"/>
    </row>
    <row r="48" spans="1:7">
      <c r="A48" s="174" t="s">
        <v>75</v>
      </c>
      <c r="B48" s="34">
        <f t="shared" si="0"/>
        <v>138.68913857677907</v>
      </c>
      <c r="C48" s="34">
        <f>B48*10</f>
        <v>1386.8913857677908</v>
      </c>
      <c r="D48" s="237"/>
    </row>
    <row r="49" spans="1:6">
      <c r="A49" s="174" t="s">
        <v>76</v>
      </c>
      <c r="B49" s="34" t="str">
        <f t="shared" si="0"/>
        <v>-</v>
      </c>
      <c r="C49" s="35" t="s">
        <v>111</v>
      </c>
      <c r="D49" s="237"/>
    </row>
    <row r="50" spans="1:6">
      <c r="A50" s="174" t="s">
        <v>77</v>
      </c>
      <c r="B50" s="34">
        <f t="shared" si="0"/>
        <v>15.799999999999997</v>
      </c>
      <c r="C50" s="34">
        <f>B50*2</f>
        <v>31.599999999999994</v>
      </c>
      <c r="D50" s="237"/>
    </row>
    <row r="51" spans="1:6">
      <c r="A51" s="174" t="s">
        <v>78</v>
      </c>
      <c r="B51" s="34">
        <f t="shared" si="0"/>
        <v>642.19999999999993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9942.3691438283095</v>
      </c>
      <c r="C5" s="18">
        <f>IF(ISERROR('Eigen informatie GS &amp; warmtenet'!B58),0,'Eigen informatie GS &amp; warmtenet'!B58)</f>
        <v>0</v>
      </c>
      <c r="D5" s="31">
        <f>SUM(D6:D12)</f>
        <v>11001.131469827669</v>
      </c>
      <c r="E5" s="18">
        <f>SUM(E6:E12)</f>
        <v>95.908651424507838</v>
      </c>
      <c r="F5" s="18">
        <f>SUM(F6:F12)</f>
        <v>1938.1235947358578</v>
      </c>
      <c r="G5" s="19"/>
      <c r="H5" s="18"/>
      <c r="I5" s="18"/>
      <c r="J5" s="18">
        <f>SUM(J6:J12)</f>
        <v>0</v>
      </c>
      <c r="K5" s="18"/>
      <c r="L5" s="18"/>
      <c r="M5" s="18"/>
      <c r="N5" s="18">
        <f>SUM(N6:N12)</f>
        <v>741.26973392649211</v>
      </c>
      <c r="O5" s="18">
        <f>B38*B39*B40</f>
        <v>0</v>
      </c>
      <c r="P5" s="18">
        <f>B46*B47*B48/1000-B46*B47*B48/1000/B49</f>
        <v>0</v>
      </c>
      <c r="R5" s="33"/>
    </row>
    <row r="6" spans="1:18">
      <c r="A6" s="33" t="s">
        <v>54</v>
      </c>
      <c r="B6" s="38">
        <f>B26</f>
        <v>2251.8340711501901</v>
      </c>
      <c r="C6" s="34"/>
      <c r="D6" s="38">
        <f>IF(ISERROR(TER_kantoor_gas_kWh/1000),0,TER_kantoor_gas_kWh/1000)*0.902</f>
        <v>3171.4978601271691</v>
      </c>
      <c r="E6" s="34">
        <f>$C$26*'E Balans VL '!I12/100/3.6*1000000</f>
        <v>3.6957161031395933</v>
      </c>
      <c r="F6" s="34">
        <f>$C$26*('E Balans VL '!L12+'E Balans VL '!N12)/100/3.6*1000000</f>
        <v>265.43825421011888</v>
      </c>
      <c r="G6" s="35"/>
      <c r="H6" s="34"/>
      <c r="I6" s="34"/>
      <c r="J6" s="34">
        <f>$C$26*('E Balans VL '!D12+'E Balans VL '!E12)/100/3.6*1000000</f>
        <v>0</v>
      </c>
      <c r="K6" s="34"/>
      <c r="L6" s="34"/>
      <c r="M6" s="34"/>
      <c r="N6" s="34">
        <f>$C$26*'E Balans VL '!Y12/100/3.6*1000000</f>
        <v>0.45497241076859185</v>
      </c>
      <c r="O6" s="34"/>
      <c r="P6" s="34"/>
      <c r="R6" s="33"/>
    </row>
    <row r="7" spans="1:18">
      <c r="A7" s="33" t="s">
        <v>53</v>
      </c>
      <c r="B7" s="38">
        <f t="shared" ref="B7:B12" si="0">B27</f>
        <v>853.294015973</v>
      </c>
      <c r="C7" s="34"/>
      <c r="D7" s="38">
        <f>IF(ISERROR(TER_horeca_gas_kWh/1000),0,TER_horeca_gas_kWh/1000)*0.902</f>
        <v>1127.7806899600309</v>
      </c>
      <c r="E7" s="34">
        <f>$C$27*'E Balans VL '!I9/100/3.6*1000000</f>
        <v>44.279784861368285</v>
      </c>
      <c r="F7" s="34">
        <f>$C$27*('E Balans VL '!L9+'E Balans VL '!N9)/100/3.6*1000000</f>
        <v>194.72231359824522</v>
      </c>
      <c r="G7" s="35"/>
      <c r="H7" s="34"/>
      <c r="I7" s="34"/>
      <c r="J7" s="34">
        <f>$C$27*('E Balans VL '!D9+'E Balans VL '!E9)/100/3.6*1000000</f>
        <v>0</v>
      </c>
      <c r="K7" s="34"/>
      <c r="L7" s="34"/>
      <c r="M7" s="34"/>
      <c r="N7" s="34">
        <f>$C$27*'E Balans VL '!Y9/100/3.6*1000000</f>
        <v>9.0107457047705952E-2</v>
      </c>
      <c r="O7" s="34"/>
      <c r="P7" s="34"/>
      <c r="R7" s="33"/>
    </row>
    <row r="8" spans="1:18">
      <c r="A8" s="6" t="s">
        <v>52</v>
      </c>
      <c r="B8" s="38">
        <f t="shared" si="0"/>
        <v>3076.9347258655298</v>
      </c>
      <c r="C8" s="34"/>
      <c r="D8" s="38">
        <f>IF(ISERROR(TER_handel_gas_kWh/1000),0,TER_handel_gas_kWh/1000)*0.902</f>
        <v>890.97244359297497</v>
      </c>
      <c r="E8" s="34">
        <f>$C$28*'E Balans VL '!I13/100/3.6*1000000</f>
        <v>16.569671603809468</v>
      </c>
      <c r="F8" s="34">
        <f>$C$28*('E Balans VL '!L13+'E Balans VL '!N13)/100/3.6*1000000</f>
        <v>627.47842886848571</v>
      </c>
      <c r="G8" s="35"/>
      <c r="H8" s="34"/>
      <c r="I8" s="34"/>
      <c r="J8" s="34">
        <f>$C$28*('E Balans VL '!D13+'E Balans VL '!E13)/100/3.6*1000000</f>
        <v>0</v>
      </c>
      <c r="K8" s="34"/>
      <c r="L8" s="34"/>
      <c r="M8" s="34"/>
      <c r="N8" s="34">
        <f>$C$28*'E Balans VL '!Y13/100/3.6*1000000</f>
        <v>15.299971509054384</v>
      </c>
      <c r="O8" s="34"/>
      <c r="P8" s="34"/>
      <c r="R8" s="33"/>
    </row>
    <row r="9" spans="1:18">
      <c r="A9" s="33" t="s">
        <v>51</v>
      </c>
      <c r="B9" s="38">
        <f t="shared" si="0"/>
        <v>90.53254403752581</v>
      </c>
      <c r="C9" s="34"/>
      <c r="D9" s="38">
        <f>IF(ISERROR(TER_gezond_gas_kWh/1000),0,TER_gezond_gas_kWh/1000)*0.902</f>
        <v>108.61953254205287</v>
      </c>
      <c r="E9" s="34">
        <f>$C$29*'E Balans VL '!I10/100/3.6*1000000</f>
        <v>8.9718780673018042E-2</v>
      </c>
      <c r="F9" s="34">
        <f>$C$29*('E Balans VL '!L10+'E Balans VL '!N10)/100/3.6*1000000</f>
        <v>31.412183280551378</v>
      </c>
      <c r="G9" s="35"/>
      <c r="H9" s="34"/>
      <c r="I9" s="34"/>
      <c r="J9" s="34">
        <f>$C$29*('E Balans VL '!D10+'E Balans VL '!E10)/100/3.6*1000000</f>
        <v>0</v>
      </c>
      <c r="K9" s="34"/>
      <c r="L9" s="34"/>
      <c r="M9" s="34"/>
      <c r="N9" s="34">
        <f>$C$29*'E Balans VL '!Y10/100/3.6*1000000</f>
        <v>0.78011108917467065</v>
      </c>
      <c r="O9" s="34"/>
      <c r="P9" s="34"/>
      <c r="R9" s="33"/>
    </row>
    <row r="10" spans="1:18">
      <c r="A10" s="33" t="s">
        <v>50</v>
      </c>
      <c r="B10" s="38">
        <f t="shared" si="0"/>
        <v>945.56213206219411</v>
      </c>
      <c r="C10" s="34"/>
      <c r="D10" s="38">
        <f>IF(ISERROR(TER_ander_gas_kWh/1000),0,TER_ander_gas_kWh/1000)*0.902</f>
        <v>362.33016488686854</v>
      </c>
      <c r="E10" s="34">
        <f>$C$30*'E Balans VL '!I14/100/3.6*1000000</f>
        <v>7.7356432623173186</v>
      </c>
      <c r="F10" s="34">
        <f>$C$30*('E Balans VL '!L14+'E Balans VL '!N14)/100/3.6*1000000</f>
        <v>276.44387198624349</v>
      </c>
      <c r="G10" s="35"/>
      <c r="H10" s="34"/>
      <c r="I10" s="34"/>
      <c r="J10" s="34">
        <f>$C$30*('E Balans VL '!D14+'E Balans VL '!E14)/100/3.6*1000000</f>
        <v>0</v>
      </c>
      <c r="K10" s="34"/>
      <c r="L10" s="34"/>
      <c r="M10" s="34"/>
      <c r="N10" s="34">
        <f>$C$30*'E Balans VL '!Y14/100/3.6*1000000</f>
        <v>545.46528196508484</v>
      </c>
      <c r="O10" s="34"/>
      <c r="P10" s="34"/>
      <c r="R10" s="33"/>
    </row>
    <row r="11" spans="1:18">
      <c r="A11" s="33" t="s">
        <v>55</v>
      </c>
      <c r="B11" s="38">
        <f t="shared" si="0"/>
        <v>0</v>
      </c>
      <c r="C11" s="34"/>
      <c r="D11" s="38">
        <f>IF(ISERROR(TER_onderwijs_gas_kWh/1000),0,TER_onderwijs_gas_kWh/1000)*0.902</f>
        <v>181.52693415186681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2724.21165473987</v>
      </c>
      <c r="C12" s="34"/>
      <c r="D12" s="38">
        <f>IF(ISERROR(TER_rest_gas_kWh/1000),0,TER_rest_gas_kWh/1000)*0.902</f>
        <v>5158.4038445667065</v>
      </c>
      <c r="E12" s="34">
        <f>$C$32*'E Balans VL '!I8/100/3.6*1000000</f>
        <v>23.538116813200133</v>
      </c>
      <c r="F12" s="34">
        <f>$C$32*('E Balans VL '!L8+'E Balans VL '!N8)/100/3.6*1000000</f>
        <v>542.62854279221324</v>
      </c>
      <c r="G12" s="35"/>
      <c r="H12" s="34"/>
      <c r="I12" s="34"/>
      <c r="J12" s="34">
        <f>$C$32*('E Balans VL '!D8+'E Balans VL '!E8)/100/3.6*1000000</f>
        <v>0</v>
      </c>
      <c r="K12" s="34"/>
      <c r="L12" s="34"/>
      <c r="M12" s="34"/>
      <c r="N12" s="34">
        <f>$C$32*'E Balans VL '!Y8/100/3.6*1000000</f>
        <v>179.17928949536184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9942.3691438283095</v>
      </c>
      <c r="C16" s="22">
        <f t="shared" ca="1" si="1"/>
        <v>0</v>
      </c>
      <c r="D16" s="22">
        <f t="shared" ca="1" si="1"/>
        <v>11001.131469827669</v>
      </c>
      <c r="E16" s="22">
        <f t="shared" si="1"/>
        <v>95.908651424507838</v>
      </c>
      <c r="F16" s="22">
        <f t="shared" ca="1" si="1"/>
        <v>1938.1235947358578</v>
      </c>
      <c r="G16" s="22">
        <f t="shared" si="1"/>
        <v>0</v>
      </c>
      <c r="H16" s="22">
        <f t="shared" si="1"/>
        <v>0</v>
      </c>
      <c r="I16" s="22">
        <f t="shared" si="1"/>
        <v>0</v>
      </c>
      <c r="J16" s="22">
        <f t="shared" si="1"/>
        <v>0</v>
      </c>
      <c r="K16" s="22">
        <f t="shared" si="1"/>
        <v>0</v>
      </c>
      <c r="L16" s="22">
        <f t="shared" ca="1" si="1"/>
        <v>0</v>
      </c>
      <c r="M16" s="22">
        <f t="shared" si="1"/>
        <v>0</v>
      </c>
      <c r="N16" s="22">
        <f t="shared" ca="1" si="1"/>
        <v>741.26973392649211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0.21975465295937063</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2184.8818807959451</v>
      </c>
      <c r="C20" s="24">
        <f t="shared" ref="C20:P20" ca="1" si="2">C16*C18</f>
        <v>0</v>
      </c>
      <c r="D20" s="24">
        <f t="shared" ca="1" si="2"/>
        <v>2222.2285569051892</v>
      </c>
      <c r="E20" s="24">
        <f t="shared" si="2"/>
        <v>21.771263873363282</v>
      </c>
      <c r="F20" s="24">
        <f t="shared" ca="1" si="2"/>
        <v>517.47899979447402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2251.8340711501901</v>
      </c>
      <c r="C26" s="40">
        <f>IF(ISERROR(B26*3.6/1000000/'E Balans VL '!Z12*100),0,B26*3.6/1000000/'E Balans VL '!Z12*100)</f>
        <v>4.7849859151823861E-2</v>
      </c>
      <c r="D26" s="240" t="s">
        <v>707</v>
      </c>
      <c r="F26" s="6"/>
    </row>
    <row r="27" spans="1:18">
      <c r="A27" s="234" t="s">
        <v>53</v>
      </c>
      <c r="B27" s="34">
        <f>IF(ISERROR(TER_horeca_ele_kWh/1000),0,TER_horeca_ele_kWh/1000)</f>
        <v>853.294015973</v>
      </c>
      <c r="C27" s="40">
        <f>IF(ISERROR(B27*3.6/1000000/'E Balans VL '!Z9*100),0,B27*3.6/1000000/'E Balans VL '!Z9*100)</f>
        <v>6.7160837551085192E-2</v>
      </c>
      <c r="D27" s="240" t="s">
        <v>707</v>
      </c>
      <c r="F27" s="6"/>
    </row>
    <row r="28" spans="1:18">
      <c r="A28" s="174" t="s">
        <v>52</v>
      </c>
      <c r="B28" s="34">
        <f>IF(ISERROR(TER_handel_ele_kWh/1000),0,TER_handel_ele_kWh/1000)</f>
        <v>3076.9347258655298</v>
      </c>
      <c r="C28" s="40">
        <f>IF(ISERROR(B28*3.6/1000000/'E Balans VL '!Z13*100),0,B28*3.6/1000000/'E Balans VL '!Z13*100)</f>
        <v>8.6186588381947121E-2</v>
      </c>
      <c r="D28" s="240" t="s">
        <v>707</v>
      </c>
      <c r="F28" s="6"/>
    </row>
    <row r="29" spans="1:18">
      <c r="A29" s="234" t="s">
        <v>51</v>
      </c>
      <c r="B29" s="34">
        <f>IF(ISERROR(TER_gezond_ele_kWh/1000),0,TER_gezond_ele_kWh/1000)</f>
        <v>90.53254403752581</v>
      </c>
      <c r="C29" s="40">
        <f>IF(ISERROR(B29*3.6/1000000/'E Balans VL '!Z10*100),0,B29*3.6/1000000/'E Balans VL '!Z10*100)</f>
        <v>1.1581849976276318E-2</v>
      </c>
      <c r="D29" s="240" t="s">
        <v>707</v>
      </c>
      <c r="F29" s="6"/>
    </row>
    <row r="30" spans="1:18">
      <c r="A30" s="234" t="s">
        <v>50</v>
      </c>
      <c r="B30" s="34">
        <f>IF(ISERROR(TER_ander_ele_kWh/1000),0,TER_ander_ele_kWh/1000)</f>
        <v>945.56213206219411</v>
      </c>
      <c r="C30" s="40">
        <f>IF(ISERROR(B30*3.6/1000000/'E Balans VL '!Z14*100),0,B30*3.6/1000000/'E Balans VL '!Z14*100)</f>
        <v>7.072008003254486E-2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2724.21165473987</v>
      </c>
      <c r="C32" s="40">
        <f>IF(ISERROR(B32*3.6/1000000/'E Balans VL '!Z8*100),0,B32*3.6/1000000/'E Balans VL '!Z8*100)</f>
        <v>2.2441870543626025E-2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1842.2882811790728</v>
      </c>
      <c r="C5" s="18">
        <f>IF(ISERROR('Eigen informatie GS &amp; warmtenet'!B59),0,'Eigen informatie GS &amp; warmtenet'!B59)</f>
        <v>0</v>
      </c>
      <c r="D5" s="31">
        <f>SUM(D6:D15)</f>
        <v>1787.3493438147179</v>
      </c>
      <c r="E5" s="18">
        <f>SUM(E6:E15)</f>
        <v>13.843625039823568</v>
      </c>
      <c r="F5" s="18">
        <f>SUM(F6:F15)</f>
        <v>886.43896542084724</v>
      </c>
      <c r="G5" s="19"/>
      <c r="H5" s="18"/>
      <c r="I5" s="18"/>
      <c r="J5" s="18">
        <f>SUM(J6:J15)</f>
        <v>4.1351191195135932</v>
      </c>
      <c r="K5" s="18"/>
      <c r="L5" s="18"/>
      <c r="M5" s="18"/>
      <c r="N5" s="18">
        <f>SUM(N6:N15)</f>
        <v>91.570487681909967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76.3915207745749</v>
      </c>
      <c r="C8" s="34"/>
      <c r="D8" s="38">
        <f>IF( ISERROR(IND_metaal_Gas_kWH/1000),0,IND_metaal_Gas_kWH/1000)*0.902</f>
        <v>0</v>
      </c>
      <c r="E8" s="34">
        <f>C30*'E Balans VL '!I18/100/3.6*1000000</f>
        <v>0.69568381299823612</v>
      </c>
      <c r="F8" s="34">
        <f>C30*'E Balans VL '!L18/100/3.6*1000000+C30*'E Balans VL '!N18/100/3.6*1000000</f>
        <v>10.075461462993673</v>
      </c>
      <c r="G8" s="35"/>
      <c r="H8" s="34"/>
      <c r="I8" s="34"/>
      <c r="J8" s="41">
        <f>C30*'E Balans VL '!D18/100/3.6*1000000+C30*'E Balans VL '!E18/100/3.6*1000000</f>
        <v>1.2527100242088471</v>
      </c>
      <c r="K8" s="34"/>
      <c r="L8" s="34"/>
      <c r="M8" s="34"/>
      <c r="N8" s="34">
        <f>C30*'E Balans VL '!Y18/100/3.6*1000000</f>
        <v>0.26252731044843075</v>
      </c>
      <c r="O8" s="34"/>
      <c r="P8" s="34"/>
      <c r="R8" s="33"/>
    </row>
    <row r="9" spans="1:18">
      <c r="A9" s="6" t="s">
        <v>33</v>
      </c>
      <c r="B9" s="38">
        <f t="shared" si="0"/>
        <v>924.10662704463198</v>
      </c>
      <c r="C9" s="34"/>
      <c r="D9" s="38">
        <f>IF( ISERROR(IND_andere_gas_kWh/1000),0,IND_andere_gas_kWh/1000)*0.902</f>
        <v>865.5085125705134</v>
      </c>
      <c r="E9" s="34">
        <f>C31*'E Balans VL '!I19/100/3.6*1000000</f>
        <v>5.3414744006310269</v>
      </c>
      <c r="F9" s="34">
        <f>C31*'E Balans VL '!L19/100/3.6*1000000+C31*'E Balans VL '!N19/100/3.6*1000000</f>
        <v>735.17128806530377</v>
      </c>
      <c r="G9" s="35"/>
      <c r="H9" s="34"/>
      <c r="I9" s="34"/>
      <c r="J9" s="41">
        <f>C31*'E Balans VL '!D19/100/3.6*1000000+C31*'E Balans VL '!E19/100/3.6*1000000</f>
        <v>8.7410222232743834E-2</v>
      </c>
      <c r="K9" s="34"/>
      <c r="L9" s="34"/>
      <c r="M9" s="34"/>
      <c r="N9" s="34">
        <f>C31*'E Balans VL '!Y19/100/3.6*1000000</f>
        <v>70.015061788150149</v>
      </c>
      <c r="O9" s="34"/>
      <c r="P9" s="34"/>
      <c r="R9" s="33"/>
    </row>
    <row r="10" spans="1:18">
      <c r="A10" s="6" t="s">
        <v>41</v>
      </c>
      <c r="B10" s="38">
        <f t="shared" si="0"/>
        <v>286.21281435722</v>
      </c>
      <c r="C10" s="34"/>
      <c r="D10" s="38">
        <f>IF( ISERROR(IND_voed_gas_kWh/1000),0,IND_voed_gas_kWh/1000)*0.902</f>
        <v>565.66853470657099</v>
      </c>
      <c r="E10" s="34">
        <f>C32*'E Balans VL '!I20/100/3.6*1000000</f>
        <v>2.8142207411620395</v>
      </c>
      <c r="F10" s="34">
        <f>C32*'E Balans VL '!L20/100/3.6*1000000+C32*'E Balans VL '!N20/100/3.6*1000000</f>
        <v>31.787668868455395</v>
      </c>
      <c r="G10" s="35"/>
      <c r="H10" s="34"/>
      <c r="I10" s="34"/>
      <c r="J10" s="41">
        <f>C32*'E Balans VL '!D20/100/3.6*1000000+C32*'E Balans VL '!E20/100/3.6*1000000</f>
        <v>1.1280946341811664E-3</v>
      </c>
      <c r="K10" s="34"/>
      <c r="L10" s="34"/>
      <c r="M10" s="34"/>
      <c r="N10" s="34">
        <f>C32*'E Balans VL '!Y20/100/3.6*1000000</f>
        <v>4.2381385371259928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555.57731900264605</v>
      </c>
      <c r="C15" s="34"/>
      <c r="D15" s="38">
        <f>IF( ISERROR(IND_rest_gas_kWh/1000),0,IND_rest_gas_kWh/1000)*0.902</f>
        <v>356.17229653763337</v>
      </c>
      <c r="E15" s="34">
        <f>C37*'E Balans VL '!I15/100/3.6*1000000</f>
        <v>4.9922460850322654</v>
      </c>
      <c r="F15" s="34">
        <f>C37*'E Balans VL '!L15/100/3.6*1000000+C37*'E Balans VL '!N15/100/3.6*1000000</f>
        <v>109.40454702409446</v>
      </c>
      <c r="G15" s="35"/>
      <c r="H15" s="34"/>
      <c r="I15" s="34"/>
      <c r="J15" s="41">
        <f>C37*'E Balans VL '!D15/100/3.6*1000000+C37*'E Balans VL '!E15/100/3.6*1000000</f>
        <v>2.7938707784378209</v>
      </c>
      <c r="K15" s="34"/>
      <c r="L15" s="34"/>
      <c r="M15" s="34"/>
      <c r="N15" s="34">
        <f>C37*'E Balans VL '!Y15/100/3.6*1000000</f>
        <v>17.054760046185397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1842.2882811790728</v>
      </c>
      <c r="C18" s="22">
        <f>C5+C16</f>
        <v>0</v>
      </c>
      <c r="D18" s="22">
        <f>MAX((D5+D16),0)</f>
        <v>1787.3493438147179</v>
      </c>
      <c r="E18" s="22">
        <f>MAX((E5+E16),0)</f>
        <v>13.843625039823568</v>
      </c>
      <c r="F18" s="22">
        <f>MAX((F5+F16),0)</f>
        <v>886.43896542084724</v>
      </c>
      <c r="G18" s="22"/>
      <c r="H18" s="22"/>
      <c r="I18" s="22"/>
      <c r="J18" s="22">
        <f>MAX((J5+J16),0)</f>
        <v>4.1351191195135932</v>
      </c>
      <c r="K18" s="22"/>
      <c r="L18" s="22">
        <f>MAX((L5+L16),0)</f>
        <v>0</v>
      </c>
      <c r="M18" s="22"/>
      <c r="N18" s="22">
        <f>MAX((N5+N16),0)</f>
        <v>91.570487681909967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0.21975465295937063</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404.85142188162257</v>
      </c>
      <c r="C22" s="24">
        <f ca="1">C18*C20</f>
        <v>0</v>
      </c>
      <c r="D22" s="24">
        <f>D18*D20</f>
        <v>361.04456745057303</v>
      </c>
      <c r="E22" s="24">
        <f>E18*E20</f>
        <v>3.14250288403995</v>
      </c>
      <c r="F22" s="24">
        <f>F18*F20</f>
        <v>236.67920376736623</v>
      </c>
      <c r="G22" s="24"/>
      <c r="H22" s="24"/>
      <c r="I22" s="24"/>
      <c r="J22" s="24">
        <f>J18*J20</f>
        <v>1.4638321683078119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76.3915207745749</v>
      </c>
      <c r="C30" s="40">
        <f>IF(ISERROR(B30*3.6/1000000/'E Balans VL '!Z18*100),0,B30*3.6/1000000/'E Balans VL '!Z18*100)</f>
        <v>4.2506773053884259E-3</v>
      </c>
      <c r="D30" s="240" t="s">
        <v>707</v>
      </c>
    </row>
    <row r="31" spans="1:18">
      <c r="A31" s="6" t="s">
        <v>33</v>
      </c>
      <c r="B31" s="38">
        <f>IF( ISERROR(IND_ander_ele_kWh/1000),0,IND_ander_ele_kWh/1000)</f>
        <v>924.10662704463198</v>
      </c>
      <c r="C31" s="40">
        <f>IF(ISERROR(B31*3.6/1000000/'E Balans VL '!Z19*100),0,B31*3.6/1000000/'E Balans VL '!Z19*100)</f>
        <v>4.2959290107560118E-2</v>
      </c>
      <c r="D31" s="240" t="s">
        <v>707</v>
      </c>
    </row>
    <row r="32" spans="1:18">
      <c r="A32" s="174" t="s">
        <v>41</v>
      </c>
      <c r="B32" s="38">
        <f>IF( ISERROR(IND_voed_ele_kWh/1000),0,IND_voed_ele_kWh/1000)</f>
        <v>286.21281435722</v>
      </c>
      <c r="C32" s="40">
        <f>IF(ISERROR(B32*3.6/1000000/'E Balans VL '!Z20*100),0,B32*3.6/1000000/'E Balans VL '!Z20*100)</f>
        <v>1.0117044956269255E-2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555.57731900264605</v>
      </c>
      <c r="C37" s="40">
        <f>IF(ISERROR(B37*3.6/1000000/'E Balans VL '!Z15*100),0,B37*3.6/1000000/'E Balans VL '!Z15*100)</f>
        <v>4.1954294702740537E-3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828.78441682868436</v>
      </c>
      <c r="C5" s="18">
        <f>'Eigen informatie GS &amp; warmtenet'!B60</f>
        <v>0</v>
      </c>
      <c r="D5" s="31">
        <f>IF(ISERROR(SUM(LB_lb_gas_kWh,LB_rest_gas_kWh,onbekend_gas_kWh)/1000),0,SUM(LB_lb_gas_kWh,LB_rest_gas_kWh,onbekend_gas_kWh)/1000)*0.902</f>
        <v>77584.671064597685</v>
      </c>
      <c r="E5" s="18">
        <f>B17*'E Balans VL '!I25/3.6*1000000/100</f>
        <v>7.8077045103011669</v>
      </c>
      <c r="F5" s="18">
        <f>B17*('E Balans VL '!L25/3.6*1000000+'E Balans VL '!N25/3.6*1000000)/100</f>
        <v>2704.5986015042076</v>
      </c>
      <c r="G5" s="19"/>
      <c r="H5" s="18"/>
      <c r="I5" s="18"/>
      <c r="J5" s="18">
        <f>('E Balans VL '!D25+'E Balans VL '!E25)/3.6*1000000*landbouw!B17/100</f>
        <v>102.52466356833736</v>
      </c>
      <c r="K5" s="18"/>
      <c r="L5" s="18">
        <f>L6*(-1)</f>
        <v>0</v>
      </c>
      <c r="M5" s="18"/>
      <c r="N5" s="18">
        <f>N6*(-1)</f>
        <v>0</v>
      </c>
      <c r="O5" s="18"/>
      <c r="P5" s="18"/>
      <c r="R5" s="33"/>
    </row>
    <row r="6" spans="1:18">
      <c r="A6" s="17" t="s">
        <v>502</v>
      </c>
      <c r="B6" s="18" t="s">
        <v>211</v>
      </c>
      <c r="C6" s="18">
        <f>'lokale energieproductie'!O91+'lokale energieproductie'!O60</f>
        <v>32708.571428571431</v>
      </c>
      <c r="D6" s="312">
        <f>('lokale energieproductie'!P60+'lokale energieproductie'!P91)*(-1)</f>
        <v>-65417.14285714287</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828.78441682868436</v>
      </c>
      <c r="C8" s="22">
        <f>C5+C6</f>
        <v>32708.571428571431</v>
      </c>
      <c r="D8" s="22">
        <f>MAX((D5+D6),0)</f>
        <v>12167.528207454816</v>
      </c>
      <c r="E8" s="22">
        <f>MAX((E5+E6),0)</f>
        <v>7.8077045103011669</v>
      </c>
      <c r="F8" s="22">
        <f>MAX((F5+F6),0)</f>
        <v>2704.5986015042076</v>
      </c>
      <c r="G8" s="22"/>
      <c r="H8" s="22"/>
      <c r="I8" s="22"/>
      <c r="J8" s="22">
        <f>MAX((J5+J6),0)</f>
        <v>102.52466356833736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0.21975465295937063</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182.1292318983219</v>
      </c>
      <c r="C12" s="24">
        <f ca="1">C8*C10</f>
        <v>7773.0957983193293</v>
      </c>
      <c r="D12" s="24">
        <f>D8*D10</f>
        <v>2457.8406979058732</v>
      </c>
      <c r="E12" s="24">
        <f>E8*E10</f>
        <v>1.772348923838365</v>
      </c>
      <c r="F12" s="24">
        <f>F8*F10</f>
        <v>722.1278266016235</v>
      </c>
      <c r="G12" s="24"/>
      <c r="H12" s="24"/>
      <c r="I12" s="24"/>
      <c r="J12" s="24">
        <f>J8*J10</f>
        <v>36.293730903191424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0.11220416648697916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134.90058663013119</v>
      </c>
      <c r="C26" s="250">
        <f>B26*'GWP N2O_CH4'!B5</f>
        <v>2832.9123192327547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36.431715786346196</v>
      </c>
      <c r="C27" s="250">
        <f>B27*'GWP N2O_CH4'!B5</f>
        <v>765.0660315132701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1.6121324537544293</v>
      </c>
      <c r="C28" s="250">
        <f>B28*'GWP N2O_CH4'!B4</f>
        <v>499.76106066387308</v>
      </c>
      <c r="D28" s="51"/>
    </row>
    <row r="29" spans="1:4">
      <c r="A29" s="42" t="s">
        <v>277</v>
      </c>
      <c r="B29" s="250">
        <f>B34*'ha_N2O bodem landbouw'!B4</f>
        <v>7.0486362835915166</v>
      </c>
      <c r="C29" s="250">
        <f>B29*'GWP N2O_CH4'!B4</f>
        <v>2185.0772479133702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1.9029099036186557E-3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4.462761893401151E-6</v>
      </c>
      <c r="C5" s="447" t="s">
        <v>211</v>
      </c>
      <c r="D5" s="432">
        <f>SUM(D6:D11)</f>
        <v>1.1959814594864395E-5</v>
      </c>
      <c r="E5" s="432">
        <f>SUM(E6:E11)</f>
        <v>6.9717260624302889E-4</v>
      </c>
      <c r="F5" s="445" t="s">
        <v>211</v>
      </c>
      <c r="G5" s="432">
        <f>SUM(G6:G11)</f>
        <v>0.12280590638727179</v>
      </c>
      <c r="H5" s="432">
        <f>SUM(H6:H11)</f>
        <v>2.6638535661660082E-2</v>
      </c>
      <c r="I5" s="447" t="s">
        <v>211</v>
      </c>
      <c r="J5" s="447" t="s">
        <v>211</v>
      </c>
      <c r="K5" s="447" t="s">
        <v>211</v>
      </c>
      <c r="L5" s="447" t="s">
        <v>211</v>
      </c>
      <c r="M5" s="432">
        <f>SUM(M6:M11)</f>
        <v>6.687094602618353E-3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3.9153305525195187E-6</v>
      </c>
      <c r="C6" s="433"/>
      <c r="D6" s="433">
        <f>vkm_2011_GW_PW*SUMIFS(TableVerdeelsleutelVkm[CNG],TableVerdeelsleutelVkm[Voertuigtype],"Lichte voertuigen")*SUMIFS(TableECFTransport[EnergieConsumptieFactor (PJ per km)],TableECFTransport[Index],CONCATENATE($A6,"_CNG_CNG"))</f>
        <v>9.5613027797102078E-6</v>
      </c>
      <c r="E6" s="435">
        <f>vkm_2011_GW_PW*SUMIFS(TableVerdeelsleutelVkm[LPG],TableVerdeelsleutelVkm[Voertuigtype],"Lichte voertuigen")*SUMIFS(TableECFTransport[EnergieConsumptieFactor (PJ per km)],TableECFTransport[Index],CONCATENATE($A6,"_LPG_LPG"))</f>
        <v>5.6674461729726506E-4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8.1929601317243014E-2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2.1471394711405124E-2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4.6304870267765584E-3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2.2968858728796684E-2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9.2670390165364747E-6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1.0232555498527612E-3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5.4743134088163193E-7</v>
      </c>
      <c r="C8" s="433"/>
      <c r="D8" s="435">
        <f>vkm_2011_NGW_PW*SUMIFS(TableVerdeelsleutelVkm[CNG],TableVerdeelsleutelVkm[Voertuigtype],"Lichte voertuigen")*SUMIFS(TableECFTransport[EnergieConsumptieFactor (PJ per km)],TableECFTransport[Index],CONCATENATE($A8,"_CNG_CNG"))</f>
        <v>2.3985118151541869E-6</v>
      </c>
      <c r="E8" s="435">
        <f>vkm_2011_NGW_PW*SUMIFS(TableVerdeelsleutelVkm[LPG],TableVerdeelsleutelVkm[Voertuigtype],"Lichte voertuigen")*SUMIFS(TableECFTransport[EnergieConsumptieFactor (PJ per km)],TableECFTransport[Index],CONCATENATE($A8,"_LPG_LPG"))</f>
        <v>1.3042798894576378E-4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1.781194050027865E-2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5.157840360826514E-3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1.0290974982125728E-3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9.5505840953443276E-5</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3.3550411906131192E-8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4.2545277764606068E-6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1.2396560815003197</v>
      </c>
      <c r="C14" s="22"/>
      <c r="D14" s="22">
        <f t="shared" ref="D14:M14" si="0">((D5)*10^9/3600)+D12</f>
        <v>3.3221707207956652</v>
      </c>
      <c r="E14" s="22">
        <f t="shared" si="0"/>
        <v>193.65905728973024</v>
      </c>
      <c r="F14" s="22"/>
      <c r="G14" s="22">
        <f t="shared" si="0"/>
        <v>34112.751774242162</v>
      </c>
      <c r="H14" s="22">
        <f t="shared" si="0"/>
        <v>7399.5932393500234</v>
      </c>
      <c r="I14" s="22"/>
      <c r="J14" s="22"/>
      <c r="K14" s="22"/>
      <c r="L14" s="22"/>
      <c r="M14" s="22">
        <f t="shared" si="0"/>
        <v>1857.5262785050982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0.21975465295937063</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0.27242019197907602</v>
      </c>
      <c r="C18" s="24"/>
      <c r="D18" s="24">
        <f t="shared" ref="D18:M18" si="1">D14*D16</f>
        <v>0.67107848560072447</v>
      </c>
      <c r="E18" s="24">
        <f t="shared" si="1"/>
        <v>43.960606004768763</v>
      </c>
      <c r="F18" s="24"/>
      <c r="G18" s="24">
        <f t="shared" si="1"/>
        <v>9108.1047237226576</v>
      </c>
      <c r="H18" s="24">
        <f t="shared" si="1"/>
        <v>1842.4987165981559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1.8707977475986594E-3</v>
      </c>
      <c r="H50" s="323">
        <f t="shared" si="2"/>
        <v>0</v>
      </c>
      <c r="I50" s="323">
        <f t="shared" si="2"/>
        <v>0</v>
      </c>
      <c r="J50" s="323">
        <f t="shared" si="2"/>
        <v>0</v>
      </c>
      <c r="K50" s="323">
        <f t="shared" si="2"/>
        <v>0</v>
      </c>
      <c r="L50" s="323">
        <f t="shared" si="2"/>
        <v>0</v>
      </c>
      <c r="M50" s="323">
        <f t="shared" si="2"/>
        <v>8.2149815170979088E-5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1.8707977475986594E-3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8.2149815170979088E-5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519.66604099962763</v>
      </c>
      <c r="H54" s="22">
        <f t="shared" si="3"/>
        <v>0</v>
      </c>
      <c r="I54" s="22">
        <f t="shared" si="3"/>
        <v>0</v>
      </c>
      <c r="J54" s="22">
        <f t="shared" si="3"/>
        <v>0</v>
      </c>
      <c r="K54" s="22">
        <f t="shared" si="3"/>
        <v>0</v>
      </c>
      <c r="L54" s="22">
        <f t="shared" si="3"/>
        <v>0</v>
      </c>
      <c r="M54" s="22">
        <f t="shared" si="3"/>
        <v>22.819393103049745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0.21975465295937063</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138.75083294690057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1907.6993960093369</v>
      </c>
      <c r="C6" s="1190"/>
      <c r="D6" s="1193"/>
      <c r="E6" s="1193"/>
      <c r="F6" s="1196"/>
      <c r="G6" s="1199"/>
      <c r="H6" s="1187"/>
      <c r="I6" s="1193"/>
      <c r="J6" s="1193"/>
      <c r="K6" s="1193"/>
      <c r="L6" s="1223"/>
      <c r="M6" s="560"/>
      <c r="N6" s="1235"/>
      <c r="O6" s="1236"/>
      <c r="Q6" s="558"/>
      <c r="R6" s="1220"/>
      <c r="S6" s="1220"/>
    </row>
    <row r="7" spans="1:19" s="548" customFormat="1">
      <c r="A7" s="561" t="s">
        <v>252</v>
      </c>
      <c r="B7" s="562">
        <f>N57</f>
        <v>22896</v>
      </c>
      <c r="C7" s="563">
        <f>B100</f>
        <v>26936.470588235297</v>
      </c>
      <c r="D7" s="564"/>
      <c r="E7" s="564">
        <f>E100</f>
        <v>0</v>
      </c>
      <c r="F7" s="565"/>
      <c r="G7" s="566"/>
      <c r="H7" s="564">
        <f>I100</f>
        <v>0</v>
      </c>
      <c r="I7" s="564">
        <f>G100+F100</f>
        <v>0</v>
      </c>
      <c r="J7" s="564">
        <f>H100+D100+C100</f>
        <v>0</v>
      </c>
      <c r="K7" s="564"/>
      <c r="L7" s="567"/>
      <c r="M7" s="568">
        <f>C7*$C$11+D7*$D$11+E7*$E$11+F7*$F$11+G7*$G$11+H7*$H$11+I7*$I$11+J7*$J$11</f>
        <v>5441.1670588235302</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24803.699396009339</v>
      </c>
      <c r="C9" s="579">
        <f t="shared" ref="C9:L9" si="0">SUM(C7:C8)</f>
        <v>26936.470588235297</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5441.1670588235302</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32708.571428571431</v>
      </c>
      <c r="C16" s="595">
        <f>B101</f>
        <v>38480.672268907569</v>
      </c>
      <c r="D16" s="596"/>
      <c r="E16" s="596">
        <f>E101</f>
        <v>0</v>
      </c>
      <c r="F16" s="597"/>
      <c r="G16" s="598"/>
      <c r="H16" s="595">
        <f>I101</f>
        <v>0</v>
      </c>
      <c r="I16" s="596">
        <f>G101+F101</f>
        <v>0</v>
      </c>
      <c r="J16" s="596">
        <f>H101+D101+C101</f>
        <v>0</v>
      </c>
      <c r="K16" s="596"/>
      <c r="L16" s="599"/>
      <c r="M16" s="600">
        <f>C16*$C$21+E16*$E$21+H16*$H$21+I16*$I$21+J16*$J$21+D16*$D$21+F16*$F$21+G16*$G$21+K16*$K$21+L16*$L$21</f>
        <v>7773.0957983193293</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32708.571428571431</v>
      </c>
      <c r="C19" s="578">
        <f>SUM(C16:C18)</f>
        <v>38480.672268907569</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7773.0957983193293</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12002</v>
      </c>
      <c r="C27" s="840">
        <v>2590</v>
      </c>
      <c r="D27" s="657" t="s">
        <v>914</v>
      </c>
      <c r="E27" s="656" t="s">
        <v>915</v>
      </c>
      <c r="F27" s="656" t="s">
        <v>916</v>
      </c>
      <c r="G27" s="656" t="s">
        <v>917</v>
      </c>
      <c r="H27" s="656" t="s">
        <v>918</v>
      </c>
      <c r="I27" s="656" t="s">
        <v>915</v>
      </c>
      <c r="J27" s="839">
        <v>39370</v>
      </c>
      <c r="K27" s="839">
        <v>39444</v>
      </c>
      <c r="L27" s="656" t="s">
        <v>919</v>
      </c>
      <c r="M27" s="656">
        <v>1532</v>
      </c>
      <c r="N27" s="656">
        <v>6894</v>
      </c>
      <c r="O27" s="656">
        <v>9848.5714285714294</v>
      </c>
      <c r="P27" s="656">
        <v>19697.142857142859</v>
      </c>
      <c r="Q27" s="656">
        <v>0</v>
      </c>
      <c r="R27" s="656">
        <v>0</v>
      </c>
      <c r="S27" s="656">
        <v>0</v>
      </c>
      <c r="T27" s="656">
        <v>0</v>
      </c>
      <c r="U27" s="656">
        <v>0</v>
      </c>
      <c r="V27" s="656">
        <v>0</v>
      </c>
      <c r="W27" s="656"/>
      <c r="X27" s="656">
        <v>10</v>
      </c>
      <c r="Y27" s="656" t="s">
        <v>112</v>
      </c>
      <c r="Z27" s="658" t="s">
        <v>112</v>
      </c>
    </row>
    <row r="28" spans="1:26" s="610" customFormat="1" ht="25.5">
      <c r="A28" s="609"/>
      <c r="B28" s="840">
        <v>12002</v>
      </c>
      <c r="C28" s="840">
        <v>2590</v>
      </c>
      <c r="D28" s="657" t="s">
        <v>920</v>
      </c>
      <c r="E28" s="656" t="s">
        <v>921</v>
      </c>
      <c r="F28" s="656" t="s">
        <v>922</v>
      </c>
      <c r="G28" s="656" t="s">
        <v>917</v>
      </c>
      <c r="H28" s="656" t="s">
        <v>918</v>
      </c>
      <c r="I28" s="656" t="s">
        <v>921</v>
      </c>
      <c r="J28" s="839">
        <v>39736</v>
      </c>
      <c r="K28" s="839">
        <v>39772</v>
      </c>
      <c r="L28" s="656" t="s">
        <v>919</v>
      </c>
      <c r="M28" s="656">
        <v>1558</v>
      </c>
      <c r="N28" s="656">
        <v>7011</v>
      </c>
      <c r="O28" s="656">
        <v>10015.714285714286</v>
      </c>
      <c r="P28" s="656">
        <v>20031.428571428572</v>
      </c>
      <c r="Q28" s="656">
        <v>0</v>
      </c>
      <c r="R28" s="656">
        <v>0</v>
      </c>
      <c r="S28" s="656">
        <v>0</v>
      </c>
      <c r="T28" s="656">
        <v>0</v>
      </c>
      <c r="U28" s="656">
        <v>0</v>
      </c>
      <c r="V28" s="656">
        <v>0</v>
      </c>
      <c r="W28" s="656"/>
      <c r="X28" s="656">
        <v>10</v>
      </c>
      <c r="Y28" s="656" t="s">
        <v>112</v>
      </c>
      <c r="Z28" s="658" t="s">
        <v>112</v>
      </c>
    </row>
    <row r="29" spans="1:26" s="610" customFormat="1" ht="25.5">
      <c r="A29" s="609"/>
      <c r="B29" s="840">
        <v>12002</v>
      </c>
      <c r="C29" s="840">
        <v>2590</v>
      </c>
      <c r="D29" s="657" t="s">
        <v>923</v>
      </c>
      <c r="E29" s="656" t="s">
        <v>924</v>
      </c>
      <c r="F29" s="656" t="s">
        <v>925</v>
      </c>
      <c r="G29" s="656" t="s">
        <v>917</v>
      </c>
      <c r="H29" s="656" t="s">
        <v>918</v>
      </c>
      <c r="I29" s="656" t="s">
        <v>924</v>
      </c>
      <c r="J29" s="839">
        <v>40294</v>
      </c>
      <c r="K29" s="839">
        <v>40347</v>
      </c>
      <c r="L29" s="656" t="s">
        <v>919</v>
      </c>
      <c r="M29" s="656">
        <v>1998</v>
      </c>
      <c r="N29" s="656">
        <v>8991</v>
      </c>
      <c r="O29" s="656">
        <v>12844.285714285714</v>
      </c>
      <c r="P29" s="656">
        <v>25688.571428571431</v>
      </c>
      <c r="Q29" s="656">
        <v>0</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5088</v>
      </c>
      <c r="N57" s="614">
        <f>SUM(N27:N56)</f>
        <v>22896</v>
      </c>
      <c r="O57" s="614">
        <f t="shared" ref="O57:W57" si="2">SUM(O27:O56)</f>
        <v>32708.571428571431</v>
      </c>
      <c r="P57" s="614">
        <f t="shared" si="2"/>
        <v>65417.14285714287</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5088</v>
      </c>
      <c r="N60" s="619">
        <f t="shared" ref="N60:W60" si="4">SUMIF($Z$27:$Z$56,"landbouw",N27:N56)</f>
        <v>22896</v>
      </c>
      <c r="O60" s="619">
        <f t="shared" si="4"/>
        <v>32708.571428571431</v>
      </c>
      <c r="P60" s="619">
        <f t="shared" si="4"/>
        <v>65417.14285714287</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26936.470588235297</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38480.672268907569</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10606.115143828309</v>
      </c>
      <c r="D10" s="703">
        <f ca="1">tertiair!C16</f>
        <v>0</v>
      </c>
      <c r="E10" s="703">
        <f ca="1">tertiair!D16</f>
        <v>11001.131469827669</v>
      </c>
      <c r="F10" s="703">
        <f>tertiair!E16</f>
        <v>95.908651424507838</v>
      </c>
      <c r="G10" s="703">
        <f ca="1">tertiair!F16</f>
        <v>1938.1235947358578</v>
      </c>
      <c r="H10" s="703">
        <f>tertiair!G16</f>
        <v>0</v>
      </c>
      <c r="I10" s="703">
        <f>tertiair!H16</f>
        <v>0</v>
      </c>
      <c r="J10" s="703">
        <f>tertiair!I16</f>
        <v>0</v>
      </c>
      <c r="K10" s="703">
        <f>tertiair!J16</f>
        <v>0</v>
      </c>
      <c r="L10" s="703">
        <f>tertiair!K16</f>
        <v>0</v>
      </c>
      <c r="M10" s="703">
        <f ca="1">tertiair!L16</f>
        <v>0</v>
      </c>
      <c r="N10" s="703">
        <f>tertiair!M16</f>
        <v>0</v>
      </c>
      <c r="O10" s="703">
        <f ca="1">tertiair!N16</f>
        <v>741.26973392649211</v>
      </c>
      <c r="P10" s="703">
        <f>tertiair!O16</f>
        <v>0</v>
      </c>
      <c r="Q10" s="704">
        <f>tertiair!P16</f>
        <v>0</v>
      </c>
      <c r="R10" s="706">
        <f ca="1">SUM(C10:Q10)</f>
        <v>24382.548593742835</v>
      </c>
      <c r="S10" s="68"/>
    </row>
    <row r="11" spans="1:19" s="458" customFormat="1">
      <c r="A11" s="859" t="s">
        <v>225</v>
      </c>
      <c r="B11" s="864"/>
      <c r="C11" s="703">
        <f>huishoudens!B8</f>
        <v>19202.886043479783</v>
      </c>
      <c r="D11" s="703">
        <f>huishoudens!C8</f>
        <v>0</v>
      </c>
      <c r="E11" s="703">
        <f>huishoudens!D8</f>
        <v>52842.321688003569</v>
      </c>
      <c r="F11" s="703">
        <f>huishoudens!E8</f>
        <v>2591.1375282404333</v>
      </c>
      <c r="G11" s="703">
        <f>huishoudens!F8</f>
        <v>12676.953690804932</v>
      </c>
      <c r="H11" s="703">
        <f>huishoudens!G8</f>
        <v>0</v>
      </c>
      <c r="I11" s="703">
        <f>huishoudens!H8</f>
        <v>0</v>
      </c>
      <c r="J11" s="703">
        <f>huishoudens!I8</f>
        <v>0</v>
      </c>
      <c r="K11" s="703">
        <f>huishoudens!J8</f>
        <v>498.60089737985925</v>
      </c>
      <c r="L11" s="703">
        <f>huishoudens!K8</f>
        <v>0</v>
      </c>
      <c r="M11" s="703">
        <f>huishoudens!L8</f>
        <v>0</v>
      </c>
      <c r="N11" s="703">
        <f>huishoudens!M8</f>
        <v>0</v>
      </c>
      <c r="O11" s="703">
        <f>huishoudens!N8</f>
        <v>9925.1830121953062</v>
      </c>
      <c r="P11" s="703">
        <f>huishoudens!O8</f>
        <v>53.153333333333336</v>
      </c>
      <c r="Q11" s="704">
        <f>huishoudens!P8</f>
        <v>247.86666666666667</v>
      </c>
      <c r="R11" s="706">
        <f>SUM(C11:Q11)</f>
        <v>98038.1028601039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1842.2882811790728</v>
      </c>
      <c r="D13" s="703">
        <f>industrie!C18</f>
        <v>0</v>
      </c>
      <c r="E13" s="703">
        <f>industrie!D18</f>
        <v>1787.3493438147179</v>
      </c>
      <c r="F13" s="703">
        <f>industrie!E18</f>
        <v>13.843625039823568</v>
      </c>
      <c r="G13" s="703">
        <f>industrie!F18</f>
        <v>886.43896542084724</v>
      </c>
      <c r="H13" s="703">
        <f>industrie!G18</f>
        <v>0</v>
      </c>
      <c r="I13" s="703">
        <f>industrie!H18</f>
        <v>0</v>
      </c>
      <c r="J13" s="703">
        <f>industrie!I18</f>
        <v>0</v>
      </c>
      <c r="K13" s="703">
        <f>industrie!J18</f>
        <v>4.1351191195135932</v>
      </c>
      <c r="L13" s="703">
        <f>industrie!K18</f>
        <v>0</v>
      </c>
      <c r="M13" s="703">
        <f>industrie!L18</f>
        <v>0</v>
      </c>
      <c r="N13" s="703">
        <f>industrie!M18</f>
        <v>0</v>
      </c>
      <c r="O13" s="703">
        <f>industrie!N18</f>
        <v>91.570487681909967</v>
      </c>
      <c r="P13" s="703">
        <f>industrie!O18</f>
        <v>0</v>
      </c>
      <c r="Q13" s="704">
        <f>industrie!P18</f>
        <v>0</v>
      </c>
      <c r="R13" s="706">
        <f>SUM(C13:Q13)</f>
        <v>4625.6258222558854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31651.289468487164</v>
      </c>
      <c r="D15" s="708">
        <f t="shared" ref="D15:Q15" ca="1" si="0">SUM(D9:D14)</f>
        <v>0</v>
      </c>
      <c r="E15" s="708">
        <f t="shared" ca="1" si="0"/>
        <v>65630.802501645958</v>
      </c>
      <c r="F15" s="708">
        <f t="shared" si="0"/>
        <v>2700.8898047047646</v>
      </c>
      <c r="G15" s="708">
        <f t="shared" ca="1" si="0"/>
        <v>15501.516250961638</v>
      </c>
      <c r="H15" s="708">
        <f t="shared" si="0"/>
        <v>0</v>
      </c>
      <c r="I15" s="708">
        <f t="shared" si="0"/>
        <v>0</v>
      </c>
      <c r="J15" s="708">
        <f t="shared" si="0"/>
        <v>0</v>
      </c>
      <c r="K15" s="708">
        <f t="shared" si="0"/>
        <v>502.73601649937285</v>
      </c>
      <c r="L15" s="708">
        <f t="shared" si="0"/>
        <v>0</v>
      </c>
      <c r="M15" s="708">
        <f t="shared" ca="1" si="0"/>
        <v>0</v>
      </c>
      <c r="N15" s="708">
        <f t="shared" si="0"/>
        <v>0</v>
      </c>
      <c r="O15" s="708">
        <f t="shared" ca="1" si="0"/>
        <v>10758.023233803708</v>
      </c>
      <c r="P15" s="708">
        <f t="shared" si="0"/>
        <v>53.153333333333336</v>
      </c>
      <c r="Q15" s="709">
        <f t="shared" si="0"/>
        <v>247.86666666666667</v>
      </c>
      <c r="R15" s="710">
        <f ca="1">SUM(R9:R14)</f>
        <v>127046.27727610261</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519.66604099962763</v>
      </c>
      <c r="I18" s="703">
        <f>transport!H54</f>
        <v>0</v>
      </c>
      <c r="J18" s="703">
        <f>transport!I54</f>
        <v>0</v>
      </c>
      <c r="K18" s="703">
        <f>transport!J54</f>
        <v>0</v>
      </c>
      <c r="L18" s="703">
        <f>transport!K54</f>
        <v>0</v>
      </c>
      <c r="M18" s="703">
        <f>transport!L54</f>
        <v>0</v>
      </c>
      <c r="N18" s="703">
        <f>transport!M54</f>
        <v>22.819393103049745</v>
      </c>
      <c r="O18" s="703">
        <f>transport!N54</f>
        <v>0</v>
      </c>
      <c r="P18" s="703">
        <f>transport!O54</f>
        <v>0</v>
      </c>
      <c r="Q18" s="704">
        <f>transport!P54</f>
        <v>0</v>
      </c>
      <c r="R18" s="706">
        <f>SUM(C18:Q18)</f>
        <v>542.48543410267735</v>
      </c>
      <c r="S18" s="68"/>
    </row>
    <row r="19" spans="1:19" s="458" customFormat="1" ht="15" thickBot="1">
      <c r="A19" s="859" t="s">
        <v>307</v>
      </c>
      <c r="B19" s="864"/>
      <c r="C19" s="712">
        <f>transport!B14</f>
        <v>1.2396560815003197</v>
      </c>
      <c r="D19" s="712">
        <f>transport!C14</f>
        <v>0</v>
      </c>
      <c r="E19" s="712">
        <f>transport!D14</f>
        <v>3.3221707207956652</v>
      </c>
      <c r="F19" s="712">
        <f>transport!E14</f>
        <v>193.65905728973024</v>
      </c>
      <c r="G19" s="712">
        <f>transport!F14</f>
        <v>0</v>
      </c>
      <c r="H19" s="712">
        <f>transport!G14</f>
        <v>34112.751774242162</v>
      </c>
      <c r="I19" s="712">
        <f>transport!H14</f>
        <v>7399.5932393500234</v>
      </c>
      <c r="J19" s="712">
        <f>transport!I14</f>
        <v>0</v>
      </c>
      <c r="K19" s="712">
        <f>transport!J14</f>
        <v>0</v>
      </c>
      <c r="L19" s="712">
        <f>transport!K14</f>
        <v>0</v>
      </c>
      <c r="M19" s="712">
        <f>transport!L14</f>
        <v>0</v>
      </c>
      <c r="N19" s="712">
        <f>transport!M14</f>
        <v>1857.5262785050982</v>
      </c>
      <c r="O19" s="712">
        <f>transport!N14</f>
        <v>0</v>
      </c>
      <c r="P19" s="712">
        <f>transport!O14</f>
        <v>0</v>
      </c>
      <c r="Q19" s="713">
        <f>transport!P14</f>
        <v>0</v>
      </c>
      <c r="R19" s="714">
        <f>SUM(C19:Q19)</f>
        <v>43568.092176189311</v>
      </c>
      <c r="S19" s="68"/>
    </row>
    <row r="20" spans="1:19" s="458" customFormat="1" ht="15.75" thickBot="1">
      <c r="A20" s="715" t="s">
        <v>230</v>
      </c>
      <c r="B20" s="867"/>
      <c r="C20" s="862">
        <f>SUM(C17:C19)</f>
        <v>1.2396560815003197</v>
      </c>
      <c r="D20" s="716">
        <f t="shared" ref="D20:R20" si="1">SUM(D17:D19)</f>
        <v>0</v>
      </c>
      <c r="E20" s="716">
        <f t="shared" si="1"/>
        <v>3.3221707207956652</v>
      </c>
      <c r="F20" s="716">
        <f t="shared" si="1"/>
        <v>193.65905728973024</v>
      </c>
      <c r="G20" s="716">
        <f t="shared" si="1"/>
        <v>0</v>
      </c>
      <c r="H20" s="716">
        <f t="shared" si="1"/>
        <v>34632.417815241788</v>
      </c>
      <c r="I20" s="716">
        <f t="shared" si="1"/>
        <v>7399.5932393500234</v>
      </c>
      <c r="J20" s="716">
        <f t="shared" si="1"/>
        <v>0</v>
      </c>
      <c r="K20" s="716">
        <f t="shared" si="1"/>
        <v>0</v>
      </c>
      <c r="L20" s="716">
        <f t="shared" si="1"/>
        <v>0</v>
      </c>
      <c r="M20" s="716">
        <f t="shared" si="1"/>
        <v>0</v>
      </c>
      <c r="N20" s="716">
        <f t="shared" si="1"/>
        <v>1880.345671608148</v>
      </c>
      <c r="O20" s="716">
        <f t="shared" si="1"/>
        <v>0</v>
      </c>
      <c r="P20" s="716">
        <f t="shared" si="1"/>
        <v>0</v>
      </c>
      <c r="Q20" s="717">
        <f t="shared" si="1"/>
        <v>0</v>
      </c>
      <c r="R20" s="718">
        <f t="shared" si="1"/>
        <v>44110.577610291992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828.78441682868436</v>
      </c>
      <c r="D22" s="712">
        <f>+landbouw!C8</f>
        <v>32708.571428571431</v>
      </c>
      <c r="E22" s="712">
        <f>+landbouw!D8</f>
        <v>12167.528207454816</v>
      </c>
      <c r="F22" s="712">
        <f>+landbouw!E8</f>
        <v>7.8077045103011669</v>
      </c>
      <c r="G22" s="712">
        <f>+landbouw!F8</f>
        <v>2704.5986015042076</v>
      </c>
      <c r="H22" s="712">
        <f>+landbouw!G8</f>
        <v>0</v>
      </c>
      <c r="I22" s="712">
        <f>+landbouw!H8</f>
        <v>0</v>
      </c>
      <c r="J22" s="712">
        <f>+landbouw!I8</f>
        <v>0</v>
      </c>
      <c r="K22" s="712">
        <f>+landbouw!J8</f>
        <v>102.52466356833736</v>
      </c>
      <c r="L22" s="712">
        <f>+landbouw!K8</f>
        <v>0</v>
      </c>
      <c r="M22" s="712">
        <f>+landbouw!L8</f>
        <v>0</v>
      </c>
      <c r="N22" s="712">
        <f>+landbouw!M8</f>
        <v>0</v>
      </c>
      <c r="O22" s="712">
        <f>+landbouw!N8</f>
        <v>0</v>
      </c>
      <c r="P22" s="712">
        <f>+landbouw!O8</f>
        <v>0</v>
      </c>
      <c r="Q22" s="713">
        <f>+landbouw!P8</f>
        <v>0</v>
      </c>
      <c r="R22" s="714">
        <f>SUM(C22:Q22)</f>
        <v>48519.815022437775</v>
      </c>
      <c r="S22" s="68"/>
    </row>
    <row r="23" spans="1:19" s="458" customFormat="1" ht="17.25" thickTop="1" thickBot="1">
      <c r="A23" s="719" t="s">
        <v>116</v>
      </c>
      <c r="B23" s="853"/>
      <c r="C23" s="720">
        <f ca="1">C20+C15+C22</f>
        <v>32481.313541397347</v>
      </c>
      <c r="D23" s="720">
        <f t="shared" ref="D23:Q23" ca="1" si="2">D20+D15+D22</f>
        <v>32708.571428571431</v>
      </c>
      <c r="E23" s="720">
        <f t="shared" ca="1" si="2"/>
        <v>77801.652879821573</v>
      </c>
      <c r="F23" s="720">
        <f t="shared" si="2"/>
        <v>2902.3565665047963</v>
      </c>
      <c r="G23" s="720">
        <f t="shared" ca="1" si="2"/>
        <v>18206.114852465846</v>
      </c>
      <c r="H23" s="720">
        <f t="shared" si="2"/>
        <v>34632.417815241788</v>
      </c>
      <c r="I23" s="720">
        <f t="shared" si="2"/>
        <v>7399.5932393500234</v>
      </c>
      <c r="J23" s="720">
        <f t="shared" si="2"/>
        <v>0</v>
      </c>
      <c r="K23" s="720">
        <f t="shared" si="2"/>
        <v>605.26068006771015</v>
      </c>
      <c r="L23" s="720">
        <f t="shared" si="2"/>
        <v>0</v>
      </c>
      <c r="M23" s="720">
        <f t="shared" ca="1" si="2"/>
        <v>0</v>
      </c>
      <c r="N23" s="720">
        <f t="shared" si="2"/>
        <v>1880.345671608148</v>
      </c>
      <c r="O23" s="720">
        <f t="shared" ca="1" si="2"/>
        <v>10758.023233803708</v>
      </c>
      <c r="P23" s="720">
        <f t="shared" si="2"/>
        <v>53.153333333333336</v>
      </c>
      <c r="Q23" s="721">
        <f t="shared" si="2"/>
        <v>247.86666666666667</v>
      </c>
      <c r="R23" s="722">
        <f ca="1">R20+R15+R22</f>
        <v>219676.66990883238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2330.7431526791156</v>
      </c>
      <c r="D36" s="703">
        <f ca="1">tertiair!C20</f>
        <v>0</v>
      </c>
      <c r="E36" s="703">
        <f ca="1">tertiair!D20</f>
        <v>2222.2285569051892</v>
      </c>
      <c r="F36" s="703">
        <f>tertiair!E20</f>
        <v>21.771263873363282</v>
      </c>
      <c r="G36" s="703">
        <f ca="1">tertiair!F20</f>
        <v>517.47899979447402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5092.2219732521407</v>
      </c>
    </row>
    <row r="37" spans="1:18">
      <c r="A37" s="874" t="s">
        <v>225</v>
      </c>
      <c r="B37" s="881"/>
      <c r="C37" s="703">
        <f ca="1">huishoudens!B12</f>
        <v>4219.9235583032414</v>
      </c>
      <c r="D37" s="703">
        <f ca="1">huishoudens!C12</f>
        <v>0</v>
      </c>
      <c r="E37" s="703">
        <f>huishoudens!D12</f>
        <v>10674.148980976721</v>
      </c>
      <c r="F37" s="703">
        <f>huishoudens!E12</f>
        <v>588.18821891057837</v>
      </c>
      <c r="G37" s="703">
        <f>huishoudens!F12</f>
        <v>3384.746635444917</v>
      </c>
      <c r="H37" s="703">
        <f>huishoudens!G12</f>
        <v>0</v>
      </c>
      <c r="I37" s="703">
        <f>huishoudens!H12</f>
        <v>0</v>
      </c>
      <c r="J37" s="703">
        <f>huishoudens!I12</f>
        <v>0</v>
      </c>
      <c r="K37" s="703">
        <f>huishoudens!J12</f>
        <v>176.50471767247018</v>
      </c>
      <c r="L37" s="703">
        <f>huishoudens!K12</f>
        <v>0</v>
      </c>
      <c r="M37" s="703">
        <f>huishoudens!L12</f>
        <v>0</v>
      </c>
      <c r="N37" s="703">
        <f>huishoudens!M12</f>
        <v>0</v>
      </c>
      <c r="O37" s="703">
        <f>huishoudens!N12</f>
        <v>0</v>
      </c>
      <c r="P37" s="703">
        <f>huishoudens!O12</f>
        <v>0</v>
      </c>
      <c r="Q37" s="813">
        <f>huishoudens!P12</f>
        <v>0</v>
      </c>
      <c r="R37" s="906">
        <f ca="1">SUM(C37:Q37)</f>
        <v>19043.512111307926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404.85142188162257</v>
      </c>
      <c r="D39" s="703">
        <f ca="1">industrie!C22</f>
        <v>0</v>
      </c>
      <c r="E39" s="703">
        <f>industrie!D22</f>
        <v>361.04456745057303</v>
      </c>
      <c r="F39" s="703">
        <f>industrie!E22</f>
        <v>3.14250288403995</v>
      </c>
      <c r="G39" s="703">
        <f>industrie!F22</f>
        <v>236.67920376736623</v>
      </c>
      <c r="H39" s="703">
        <f>industrie!G22</f>
        <v>0</v>
      </c>
      <c r="I39" s="703">
        <f>industrie!H22</f>
        <v>0</v>
      </c>
      <c r="J39" s="703">
        <f>industrie!I22</f>
        <v>0</v>
      </c>
      <c r="K39" s="703">
        <f>industrie!J22</f>
        <v>1.4638321683078119</v>
      </c>
      <c r="L39" s="703">
        <f>industrie!K22</f>
        <v>0</v>
      </c>
      <c r="M39" s="703">
        <f>industrie!L22</f>
        <v>0</v>
      </c>
      <c r="N39" s="703">
        <f>industrie!M22</f>
        <v>0</v>
      </c>
      <c r="O39" s="703">
        <f>industrie!N22</f>
        <v>0</v>
      </c>
      <c r="P39" s="703">
        <f>industrie!O22</f>
        <v>0</v>
      </c>
      <c r="Q39" s="813">
        <f>industrie!P22</f>
        <v>0</v>
      </c>
      <c r="R39" s="907">
        <f ca="1">SUM(C39:Q39)</f>
        <v>1007.1815281519096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6955.5181328639801</v>
      </c>
      <c r="D41" s="748">
        <f t="shared" ref="D41:R41" ca="1" si="4">SUM(D35:D40)</f>
        <v>0</v>
      </c>
      <c r="E41" s="748">
        <f t="shared" ca="1" si="4"/>
        <v>13257.422105332484</v>
      </c>
      <c r="F41" s="748">
        <f t="shared" si="4"/>
        <v>613.10198566798158</v>
      </c>
      <c r="G41" s="748">
        <f t="shared" ca="1" si="4"/>
        <v>4138.9048390067574</v>
      </c>
      <c r="H41" s="748">
        <f t="shared" si="4"/>
        <v>0</v>
      </c>
      <c r="I41" s="748">
        <f t="shared" si="4"/>
        <v>0</v>
      </c>
      <c r="J41" s="748">
        <f t="shared" si="4"/>
        <v>0</v>
      </c>
      <c r="K41" s="748">
        <f t="shared" si="4"/>
        <v>177.968549840778</v>
      </c>
      <c r="L41" s="748">
        <f t="shared" si="4"/>
        <v>0</v>
      </c>
      <c r="M41" s="748">
        <f t="shared" ca="1" si="4"/>
        <v>0</v>
      </c>
      <c r="N41" s="748">
        <f t="shared" si="4"/>
        <v>0</v>
      </c>
      <c r="O41" s="748">
        <f t="shared" ca="1" si="4"/>
        <v>0</v>
      </c>
      <c r="P41" s="748">
        <f t="shared" si="4"/>
        <v>0</v>
      </c>
      <c r="Q41" s="749">
        <f t="shared" si="4"/>
        <v>0</v>
      </c>
      <c r="R41" s="750">
        <f t="shared" ca="1" si="4"/>
        <v>25142.915612711975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138.75083294690057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138.75083294690057</v>
      </c>
    </row>
    <row r="45" spans="1:18" ht="15" thickBot="1">
      <c r="A45" s="877" t="s">
        <v>307</v>
      </c>
      <c r="B45" s="887"/>
      <c r="C45" s="712">
        <f ca="1">transport!B18</f>
        <v>0.27242019197907602</v>
      </c>
      <c r="D45" s="712">
        <f>transport!C18</f>
        <v>0</v>
      </c>
      <c r="E45" s="712">
        <f>transport!D18</f>
        <v>0.67107848560072447</v>
      </c>
      <c r="F45" s="712">
        <f>transport!E18</f>
        <v>43.960606004768763</v>
      </c>
      <c r="G45" s="712">
        <f>transport!F18</f>
        <v>0</v>
      </c>
      <c r="H45" s="712">
        <f>transport!G18</f>
        <v>9108.1047237226576</v>
      </c>
      <c r="I45" s="712">
        <f>transport!H18</f>
        <v>1842.4987165981559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10995.507545003162</v>
      </c>
    </row>
    <row r="46" spans="1:18" ht="15.75" thickBot="1">
      <c r="A46" s="875" t="s">
        <v>230</v>
      </c>
      <c r="B46" s="888"/>
      <c r="C46" s="748">
        <f t="shared" ref="C46:R46" ca="1" si="5">SUM(C43:C45)</f>
        <v>0.27242019197907602</v>
      </c>
      <c r="D46" s="748">
        <f t="shared" ca="1" si="5"/>
        <v>0</v>
      </c>
      <c r="E46" s="748">
        <f t="shared" si="5"/>
        <v>0.67107848560072447</v>
      </c>
      <c r="F46" s="748">
        <f t="shared" si="5"/>
        <v>43.960606004768763</v>
      </c>
      <c r="G46" s="748">
        <f t="shared" si="5"/>
        <v>0</v>
      </c>
      <c r="H46" s="748">
        <f t="shared" si="5"/>
        <v>9246.8555566695577</v>
      </c>
      <c r="I46" s="748">
        <f t="shared" si="5"/>
        <v>1842.4987165981559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11134.258377950062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182.1292318983219</v>
      </c>
      <c r="D48" s="703">
        <f ca="1">+landbouw!C12</f>
        <v>7773.0957983193293</v>
      </c>
      <c r="E48" s="703">
        <f>+landbouw!D12</f>
        <v>2457.8406979058732</v>
      </c>
      <c r="F48" s="703">
        <f>+landbouw!E12</f>
        <v>1.772348923838365</v>
      </c>
      <c r="G48" s="703">
        <f>+landbouw!F12</f>
        <v>722.1278266016235</v>
      </c>
      <c r="H48" s="703">
        <f>+landbouw!G12</f>
        <v>0</v>
      </c>
      <c r="I48" s="703">
        <f>+landbouw!H12</f>
        <v>0</v>
      </c>
      <c r="J48" s="703">
        <f>+landbouw!I12</f>
        <v>0</v>
      </c>
      <c r="K48" s="703">
        <f>+landbouw!J12</f>
        <v>36.293730903191424</v>
      </c>
      <c r="L48" s="703">
        <f>+landbouw!K12</f>
        <v>0</v>
      </c>
      <c r="M48" s="703">
        <f>+landbouw!L12</f>
        <v>0</v>
      </c>
      <c r="N48" s="703">
        <f>+landbouw!M12</f>
        <v>0</v>
      </c>
      <c r="O48" s="703">
        <f>+landbouw!N12</f>
        <v>0</v>
      </c>
      <c r="P48" s="703">
        <f>+landbouw!O12</f>
        <v>0</v>
      </c>
      <c r="Q48" s="704">
        <f>+landbouw!P12</f>
        <v>0</v>
      </c>
      <c r="R48" s="746">
        <f ca="1">SUM(C48:Q48)</f>
        <v>11173.259634552176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7137.9197849542816</v>
      </c>
      <c r="D53" s="758">
        <f t="shared" ref="D53:Q53" ca="1" si="6">D41+D46+D48</f>
        <v>7773.0957983193293</v>
      </c>
      <c r="E53" s="758">
        <f t="shared" ca="1" si="6"/>
        <v>15715.933881723957</v>
      </c>
      <c r="F53" s="758">
        <f t="shared" si="6"/>
        <v>658.83494059658869</v>
      </c>
      <c r="G53" s="758">
        <f t="shared" ca="1" si="6"/>
        <v>4861.0326656083807</v>
      </c>
      <c r="H53" s="758">
        <f t="shared" si="6"/>
        <v>9246.8555566695577</v>
      </c>
      <c r="I53" s="758">
        <f t="shared" si="6"/>
        <v>1842.4987165981559</v>
      </c>
      <c r="J53" s="758">
        <f t="shared" si="6"/>
        <v>0</v>
      </c>
      <c r="K53" s="758">
        <f t="shared" si="6"/>
        <v>214.26228074396943</v>
      </c>
      <c r="L53" s="758">
        <f t="shared" si="6"/>
        <v>0</v>
      </c>
      <c r="M53" s="758">
        <f t="shared" ca="1" si="6"/>
        <v>0</v>
      </c>
      <c r="N53" s="758">
        <f t="shared" si="6"/>
        <v>0</v>
      </c>
      <c r="O53" s="758">
        <f t="shared" ca="1" si="6"/>
        <v>0</v>
      </c>
      <c r="P53" s="758">
        <f>P41+P46+P48</f>
        <v>0</v>
      </c>
      <c r="Q53" s="759">
        <f t="shared" si="6"/>
        <v>0</v>
      </c>
      <c r="R53" s="760">
        <f ca="1">R41+R46+R48</f>
        <v>47450.433625214209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0.21975465295937069</v>
      </c>
      <c r="D55" s="824">
        <f t="shared" ca="1" si="7"/>
        <v>0.23764705882352943</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1907.6993960093369</v>
      </c>
      <c r="C66" s="780">
        <f>'lokale energieproductie'!B6</f>
        <v>1907.6993960093369</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22896</v>
      </c>
      <c r="C67" s="779">
        <f>B67*IFERROR(SUM(J67:L67)/SUM(D67:M67),0)</f>
        <v>0</v>
      </c>
      <c r="D67" s="811">
        <f>'lokale energieproductie'!C7</f>
        <v>26936.470588235297</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5441.1670588235302</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24803.699396009339</v>
      </c>
      <c r="C69" s="788">
        <f>SUM(C64:C68)</f>
        <v>1907.6993960093369</v>
      </c>
      <c r="D69" s="789">
        <f t="shared" ref="D69:M69" si="8">SUM(D67:D68)</f>
        <v>26936.470588235297</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5441.1670588235302</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32708.571428571431</v>
      </c>
      <c r="C78" s="802">
        <f>B78*IFERROR(SUM(I78:L78)/SUM(D78:M78),0)</f>
        <v>0</v>
      </c>
      <c r="D78" s="817">
        <f>'lokale energieproductie'!C16</f>
        <v>38480.672268907569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7773.0957983193293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32708.571428571431</v>
      </c>
      <c r="C81" s="788">
        <f>SUM(C78:C80)</f>
        <v>0</v>
      </c>
      <c r="D81" s="788">
        <f t="shared" ref="D81:P81" si="9">SUM(D78:D80)</f>
        <v>38480.672268907569</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7773.0957983193293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19202.886043479783</v>
      </c>
      <c r="C4" s="462">
        <f>huishoudens!C8</f>
        <v>0</v>
      </c>
      <c r="D4" s="462">
        <f>huishoudens!D8</f>
        <v>52842.321688003569</v>
      </c>
      <c r="E4" s="462">
        <f>huishoudens!E8</f>
        <v>2591.1375282404333</v>
      </c>
      <c r="F4" s="462">
        <f>huishoudens!F8</f>
        <v>12676.953690804932</v>
      </c>
      <c r="G4" s="462">
        <f>huishoudens!G8</f>
        <v>0</v>
      </c>
      <c r="H4" s="462">
        <f>huishoudens!H8</f>
        <v>0</v>
      </c>
      <c r="I4" s="462">
        <f>huishoudens!I8</f>
        <v>0</v>
      </c>
      <c r="J4" s="462">
        <f>huishoudens!J8</f>
        <v>498.60089737985925</v>
      </c>
      <c r="K4" s="462">
        <f>huishoudens!K8</f>
        <v>0</v>
      </c>
      <c r="L4" s="462">
        <f>huishoudens!L8</f>
        <v>0</v>
      </c>
      <c r="M4" s="462">
        <f>huishoudens!M8</f>
        <v>0</v>
      </c>
      <c r="N4" s="462">
        <f>huishoudens!N8</f>
        <v>9925.1830121953062</v>
      </c>
      <c r="O4" s="462">
        <f>huishoudens!O8</f>
        <v>53.153333333333336</v>
      </c>
      <c r="P4" s="463">
        <f>huishoudens!P8</f>
        <v>247.86666666666667</v>
      </c>
      <c r="Q4" s="464">
        <f>SUM(B4:P4)</f>
        <v>98038.1028601039</v>
      </c>
    </row>
    <row r="5" spans="1:17">
      <c r="A5" s="461" t="s">
        <v>156</v>
      </c>
      <c r="B5" s="462">
        <f ca="1">tertiair!B16</f>
        <v>9942.3691438283095</v>
      </c>
      <c r="C5" s="462">
        <f ca="1">tertiair!C16</f>
        <v>0</v>
      </c>
      <c r="D5" s="462">
        <f ca="1">tertiair!D16</f>
        <v>11001.131469827669</v>
      </c>
      <c r="E5" s="462">
        <f>tertiair!E16</f>
        <v>95.908651424507838</v>
      </c>
      <c r="F5" s="462">
        <f ca="1">tertiair!F16</f>
        <v>1938.1235947358578</v>
      </c>
      <c r="G5" s="462">
        <f>tertiair!G16</f>
        <v>0</v>
      </c>
      <c r="H5" s="462">
        <f>tertiair!H16</f>
        <v>0</v>
      </c>
      <c r="I5" s="462">
        <f>tertiair!I16</f>
        <v>0</v>
      </c>
      <c r="J5" s="462">
        <f>tertiair!J16</f>
        <v>0</v>
      </c>
      <c r="K5" s="462">
        <f>tertiair!K16</f>
        <v>0</v>
      </c>
      <c r="L5" s="462">
        <f ca="1">tertiair!L16</f>
        <v>0</v>
      </c>
      <c r="M5" s="462">
        <f>tertiair!M16</f>
        <v>0</v>
      </c>
      <c r="N5" s="462">
        <f ca="1">tertiair!N16</f>
        <v>741.26973392649211</v>
      </c>
      <c r="O5" s="462">
        <f>tertiair!O16</f>
        <v>0</v>
      </c>
      <c r="P5" s="463">
        <f>tertiair!P16</f>
        <v>0</v>
      </c>
      <c r="Q5" s="461">
        <f t="shared" ref="Q5:Q13" ca="1" si="0">SUM(B5:P5)</f>
        <v>23718.802593742836</v>
      </c>
    </row>
    <row r="6" spans="1:17">
      <c r="A6" s="461" t="s">
        <v>194</v>
      </c>
      <c r="B6" s="462">
        <f>'openbare verlichting'!B8</f>
        <v>663.74599999999998</v>
      </c>
      <c r="C6" s="462"/>
      <c r="D6" s="462"/>
      <c r="E6" s="462"/>
      <c r="F6" s="462"/>
      <c r="G6" s="462"/>
      <c r="H6" s="462"/>
      <c r="I6" s="462"/>
      <c r="J6" s="462"/>
      <c r="K6" s="462"/>
      <c r="L6" s="462"/>
      <c r="M6" s="462"/>
      <c r="N6" s="462"/>
      <c r="O6" s="462"/>
      <c r="P6" s="463"/>
      <c r="Q6" s="461">
        <f t="shared" si="0"/>
        <v>663.74599999999998</v>
      </c>
    </row>
    <row r="7" spans="1:17">
      <c r="A7" s="461" t="s">
        <v>112</v>
      </c>
      <c r="B7" s="462">
        <f>landbouw!B8</f>
        <v>828.78441682868436</v>
      </c>
      <c r="C7" s="462">
        <f>landbouw!C8</f>
        <v>32708.571428571431</v>
      </c>
      <c r="D7" s="462">
        <f>landbouw!D8</f>
        <v>12167.528207454816</v>
      </c>
      <c r="E7" s="462">
        <f>landbouw!E8</f>
        <v>7.8077045103011669</v>
      </c>
      <c r="F7" s="462">
        <f>landbouw!F8</f>
        <v>2704.5986015042076</v>
      </c>
      <c r="G7" s="462">
        <f>landbouw!G8</f>
        <v>0</v>
      </c>
      <c r="H7" s="462">
        <f>landbouw!H8</f>
        <v>0</v>
      </c>
      <c r="I7" s="462">
        <f>landbouw!I8</f>
        <v>0</v>
      </c>
      <c r="J7" s="462">
        <f>landbouw!J8</f>
        <v>102.52466356833736</v>
      </c>
      <c r="K7" s="462">
        <f>landbouw!K8</f>
        <v>0</v>
      </c>
      <c r="L7" s="462">
        <f>landbouw!L8</f>
        <v>0</v>
      </c>
      <c r="M7" s="462">
        <f>landbouw!M8</f>
        <v>0</v>
      </c>
      <c r="N7" s="462">
        <f>landbouw!N8</f>
        <v>0</v>
      </c>
      <c r="O7" s="462">
        <f>landbouw!O8</f>
        <v>0</v>
      </c>
      <c r="P7" s="463">
        <f>landbouw!P8</f>
        <v>0</v>
      </c>
      <c r="Q7" s="461">
        <f t="shared" si="0"/>
        <v>48519.815022437775</v>
      </c>
    </row>
    <row r="8" spans="1:17">
      <c r="A8" s="461" t="s">
        <v>685</v>
      </c>
      <c r="B8" s="462">
        <f>industrie!B18</f>
        <v>1842.2882811790728</v>
      </c>
      <c r="C8" s="462">
        <f>industrie!C18</f>
        <v>0</v>
      </c>
      <c r="D8" s="462">
        <f>industrie!D18</f>
        <v>1787.3493438147179</v>
      </c>
      <c r="E8" s="462">
        <f>industrie!E18</f>
        <v>13.843625039823568</v>
      </c>
      <c r="F8" s="462">
        <f>industrie!F18</f>
        <v>886.43896542084724</v>
      </c>
      <c r="G8" s="462">
        <f>industrie!G18</f>
        <v>0</v>
      </c>
      <c r="H8" s="462">
        <f>industrie!H18</f>
        <v>0</v>
      </c>
      <c r="I8" s="462">
        <f>industrie!I18</f>
        <v>0</v>
      </c>
      <c r="J8" s="462">
        <f>industrie!J18</f>
        <v>4.1351191195135932</v>
      </c>
      <c r="K8" s="462">
        <f>industrie!K18</f>
        <v>0</v>
      </c>
      <c r="L8" s="462">
        <f>industrie!L18</f>
        <v>0</v>
      </c>
      <c r="M8" s="462">
        <f>industrie!M18</f>
        <v>0</v>
      </c>
      <c r="N8" s="462">
        <f>industrie!N18</f>
        <v>91.570487681909967</v>
      </c>
      <c r="O8" s="462">
        <f>industrie!O18</f>
        <v>0</v>
      </c>
      <c r="P8" s="463">
        <f>industrie!P18</f>
        <v>0</v>
      </c>
      <c r="Q8" s="461">
        <f t="shared" si="0"/>
        <v>4625.6258222558854</v>
      </c>
    </row>
    <row r="9" spans="1:17" s="467" customFormat="1">
      <c r="A9" s="465" t="s">
        <v>579</v>
      </c>
      <c r="B9" s="466">
        <f>transport!B14</f>
        <v>1.2396560815003197</v>
      </c>
      <c r="C9" s="466"/>
      <c r="D9" s="466">
        <f>transport!D14</f>
        <v>3.3221707207956652</v>
      </c>
      <c r="E9" s="466">
        <f>transport!E14</f>
        <v>193.65905728973024</v>
      </c>
      <c r="F9" s="466"/>
      <c r="G9" s="466">
        <f>transport!G14</f>
        <v>34112.751774242162</v>
      </c>
      <c r="H9" s="466">
        <f>transport!H14</f>
        <v>7399.5932393500234</v>
      </c>
      <c r="I9" s="466"/>
      <c r="J9" s="466"/>
      <c r="K9" s="466"/>
      <c r="L9" s="466"/>
      <c r="M9" s="466">
        <f>transport!M14</f>
        <v>1857.5262785050982</v>
      </c>
      <c r="N9" s="466"/>
      <c r="O9" s="466"/>
      <c r="P9" s="466"/>
      <c r="Q9" s="465">
        <f>SUM(B9:P9)</f>
        <v>43568.092176189311</v>
      </c>
    </row>
    <row r="10" spans="1:17">
      <c r="A10" s="461" t="s">
        <v>569</v>
      </c>
      <c r="B10" s="462">
        <f>transport!B54</f>
        <v>0</v>
      </c>
      <c r="C10" s="462"/>
      <c r="D10" s="462">
        <f>transport!D54</f>
        <v>0</v>
      </c>
      <c r="E10" s="462"/>
      <c r="F10" s="462"/>
      <c r="G10" s="462">
        <f>transport!G54</f>
        <v>519.66604099962763</v>
      </c>
      <c r="H10" s="462"/>
      <c r="I10" s="462"/>
      <c r="J10" s="462"/>
      <c r="K10" s="462"/>
      <c r="L10" s="462"/>
      <c r="M10" s="462">
        <f>transport!M54</f>
        <v>22.819393103049745</v>
      </c>
      <c r="N10" s="462"/>
      <c r="O10" s="462"/>
      <c r="P10" s="463"/>
      <c r="Q10" s="461">
        <f t="shared" si="0"/>
        <v>542.48543410267735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32481.313541397347</v>
      </c>
      <c r="C14" s="472">
        <f t="shared" ref="C14:Q14" ca="1" si="1">SUM(C4:C13)</f>
        <v>32708.571428571431</v>
      </c>
      <c r="D14" s="472">
        <f t="shared" ca="1" si="1"/>
        <v>77801.652879821559</v>
      </c>
      <c r="E14" s="472">
        <f t="shared" si="1"/>
        <v>2902.3565665047963</v>
      </c>
      <c r="F14" s="472">
        <f t="shared" ca="1" si="1"/>
        <v>18206.114852465846</v>
      </c>
      <c r="G14" s="472">
        <f t="shared" si="1"/>
        <v>34632.417815241788</v>
      </c>
      <c r="H14" s="472">
        <f t="shared" si="1"/>
        <v>7399.5932393500234</v>
      </c>
      <c r="I14" s="472">
        <f t="shared" si="1"/>
        <v>0</v>
      </c>
      <c r="J14" s="472">
        <f t="shared" si="1"/>
        <v>605.26068006771015</v>
      </c>
      <c r="K14" s="472">
        <f t="shared" si="1"/>
        <v>0</v>
      </c>
      <c r="L14" s="472">
        <f t="shared" ca="1" si="1"/>
        <v>0</v>
      </c>
      <c r="M14" s="472">
        <f t="shared" si="1"/>
        <v>1880.345671608148</v>
      </c>
      <c r="N14" s="472">
        <f t="shared" ca="1" si="1"/>
        <v>10758.023233803708</v>
      </c>
      <c r="O14" s="472">
        <f t="shared" si="1"/>
        <v>53.153333333333336</v>
      </c>
      <c r="P14" s="473">
        <f t="shared" si="1"/>
        <v>247.86666666666667</v>
      </c>
      <c r="Q14" s="473">
        <f t="shared" ca="1" si="1"/>
        <v>219676.66990883238</v>
      </c>
    </row>
    <row r="16" spans="1:17">
      <c r="A16" s="475" t="s">
        <v>574</v>
      </c>
      <c r="B16" s="829">
        <f ca="1">huishoudens!B10</f>
        <v>0.21975465295937063</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4219.9235583032414</v>
      </c>
      <c r="C21" s="462">
        <f t="shared" ref="C21:C28" ca="1" si="3">C4*$C$16</f>
        <v>0</v>
      </c>
      <c r="D21" s="462">
        <f t="shared" ref="D21:D30" si="4">D4*$D$16</f>
        <v>10674.148980976721</v>
      </c>
      <c r="E21" s="462">
        <f t="shared" ref="E21:E30" si="5">E4*$E$16</f>
        <v>588.18821891057837</v>
      </c>
      <c r="F21" s="462">
        <f t="shared" ref="F21:F28" si="6">F4*$F$16</f>
        <v>3384.746635444917</v>
      </c>
      <c r="G21" s="462">
        <f t="shared" ref="G21:G30" si="7">G4*$G$16</f>
        <v>0</v>
      </c>
      <c r="H21" s="462">
        <f t="shared" ref="H21:H30" si="8">H4*$H$16</f>
        <v>0</v>
      </c>
      <c r="I21" s="462">
        <f t="shared" ref="I21:I28" si="9">I4*$I$16</f>
        <v>0</v>
      </c>
      <c r="J21" s="462">
        <f t="shared" ref="J21:J28" si="10">J4*$J$16</f>
        <v>176.50471767247018</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19043.512111307926</v>
      </c>
    </row>
    <row r="22" spans="1:17">
      <c r="A22" s="461" t="s">
        <v>156</v>
      </c>
      <c r="B22" s="462">
        <f t="shared" ca="1" si="2"/>
        <v>2184.8818807959451</v>
      </c>
      <c r="C22" s="462">
        <f t="shared" ca="1" si="3"/>
        <v>0</v>
      </c>
      <c r="D22" s="462">
        <f t="shared" ca="1" si="4"/>
        <v>2222.2285569051892</v>
      </c>
      <c r="E22" s="462">
        <f t="shared" si="5"/>
        <v>21.771263873363282</v>
      </c>
      <c r="F22" s="462">
        <f t="shared" ca="1" si="6"/>
        <v>517.47899979447402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4946.3607013689707</v>
      </c>
    </row>
    <row r="23" spans="1:17">
      <c r="A23" s="461" t="s">
        <v>194</v>
      </c>
      <c r="B23" s="462">
        <f t="shared" ca="1" si="2"/>
        <v>145.86127188317042</v>
      </c>
      <c r="C23" s="462"/>
      <c r="D23" s="462"/>
      <c r="E23" s="462"/>
      <c r="F23" s="462"/>
      <c r="G23" s="462"/>
      <c r="H23" s="462"/>
      <c r="I23" s="462"/>
      <c r="J23" s="462"/>
      <c r="K23" s="462"/>
      <c r="L23" s="462"/>
      <c r="M23" s="462"/>
      <c r="N23" s="462"/>
      <c r="O23" s="462"/>
      <c r="P23" s="463"/>
      <c r="Q23" s="461">
        <f t="shared" ca="1" si="17"/>
        <v>145.86127188317042</v>
      </c>
    </row>
    <row r="24" spans="1:17">
      <c r="A24" s="461" t="s">
        <v>112</v>
      </c>
      <c r="B24" s="462">
        <f t="shared" ca="1" si="2"/>
        <v>182.1292318983219</v>
      </c>
      <c r="C24" s="462">
        <f t="shared" ca="1" si="3"/>
        <v>7773.0957983193293</v>
      </c>
      <c r="D24" s="462">
        <f t="shared" si="4"/>
        <v>2457.8406979058732</v>
      </c>
      <c r="E24" s="462">
        <f t="shared" si="5"/>
        <v>1.772348923838365</v>
      </c>
      <c r="F24" s="462">
        <f t="shared" si="6"/>
        <v>722.1278266016235</v>
      </c>
      <c r="G24" s="462">
        <f t="shared" si="7"/>
        <v>0</v>
      </c>
      <c r="H24" s="462">
        <f t="shared" si="8"/>
        <v>0</v>
      </c>
      <c r="I24" s="462">
        <f t="shared" si="9"/>
        <v>0</v>
      </c>
      <c r="J24" s="462">
        <f t="shared" si="10"/>
        <v>36.293730903191424</v>
      </c>
      <c r="K24" s="462">
        <f t="shared" si="11"/>
        <v>0</v>
      </c>
      <c r="L24" s="462">
        <f t="shared" si="12"/>
        <v>0</v>
      </c>
      <c r="M24" s="462">
        <f t="shared" si="13"/>
        <v>0</v>
      </c>
      <c r="N24" s="462">
        <f t="shared" si="14"/>
        <v>0</v>
      </c>
      <c r="O24" s="462">
        <f t="shared" si="15"/>
        <v>0</v>
      </c>
      <c r="P24" s="463">
        <f t="shared" si="16"/>
        <v>0</v>
      </c>
      <c r="Q24" s="461">
        <f t="shared" ca="1" si="17"/>
        <v>11173.259634552176</v>
      </c>
    </row>
    <row r="25" spans="1:17">
      <c r="A25" s="461" t="s">
        <v>685</v>
      </c>
      <c r="B25" s="462">
        <f t="shared" ca="1" si="2"/>
        <v>404.85142188162257</v>
      </c>
      <c r="C25" s="462">
        <f t="shared" ca="1" si="3"/>
        <v>0</v>
      </c>
      <c r="D25" s="462">
        <f t="shared" si="4"/>
        <v>361.04456745057303</v>
      </c>
      <c r="E25" s="462">
        <f t="shared" si="5"/>
        <v>3.14250288403995</v>
      </c>
      <c r="F25" s="462">
        <f t="shared" si="6"/>
        <v>236.67920376736623</v>
      </c>
      <c r="G25" s="462">
        <f t="shared" si="7"/>
        <v>0</v>
      </c>
      <c r="H25" s="462">
        <f t="shared" si="8"/>
        <v>0</v>
      </c>
      <c r="I25" s="462">
        <f t="shared" si="9"/>
        <v>0</v>
      </c>
      <c r="J25" s="462">
        <f t="shared" si="10"/>
        <v>1.4638321683078119</v>
      </c>
      <c r="K25" s="462">
        <f t="shared" si="11"/>
        <v>0</v>
      </c>
      <c r="L25" s="462">
        <f t="shared" si="12"/>
        <v>0</v>
      </c>
      <c r="M25" s="462">
        <f t="shared" si="13"/>
        <v>0</v>
      </c>
      <c r="N25" s="462">
        <f t="shared" si="14"/>
        <v>0</v>
      </c>
      <c r="O25" s="462">
        <f t="shared" si="15"/>
        <v>0</v>
      </c>
      <c r="P25" s="463">
        <f t="shared" si="16"/>
        <v>0</v>
      </c>
      <c r="Q25" s="461">
        <f t="shared" ca="1" si="17"/>
        <v>1007.1815281519096</v>
      </c>
    </row>
    <row r="26" spans="1:17" s="467" customFormat="1">
      <c r="A26" s="465" t="s">
        <v>579</v>
      </c>
      <c r="B26" s="823">
        <f t="shared" ca="1" si="2"/>
        <v>0.27242019197907602</v>
      </c>
      <c r="C26" s="466"/>
      <c r="D26" s="466">
        <f t="shared" si="4"/>
        <v>0.67107848560072447</v>
      </c>
      <c r="E26" s="466">
        <f t="shared" si="5"/>
        <v>43.960606004768763</v>
      </c>
      <c r="F26" s="466"/>
      <c r="G26" s="466">
        <f t="shared" si="7"/>
        <v>9108.1047237226576</v>
      </c>
      <c r="H26" s="466">
        <f t="shared" si="8"/>
        <v>1842.4987165981559</v>
      </c>
      <c r="I26" s="466"/>
      <c r="J26" s="466"/>
      <c r="K26" s="466"/>
      <c r="L26" s="466"/>
      <c r="M26" s="466">
        <f t="shared" si="13"/>
        <v>0</v>
      </c>
      <c r="N26" s="466"/>
      <c r="O26" s="466"/>
      <c r="P26" s="477"/>
      <c r="Q26" s="465">
        <f t="shared" ca="1" si="17"/>
        <v>10995.507545003162</v>
      </c>
    </row>
    <row r="27" spans="1:17">
      <c r="A27" s="461" t="s">
        <v>569</v>
      </c>
      <c r="B27" s="462">
        <f t="shared" ca="1" si="2"/>
        <v>0</v>
      </c>
      <c r="C27" s="462"/>
      <c r="D27" s="466">
        <f t="shared" si="4"/>
        <v>0</v>
      </c>
      <c r="E27" s="462"/>
      <c r="F27" s="462"/>
      <c r="G27" s="462">
        <f t="shared" si="7"/>
        <v>138.75083294690057</v>
      </c>
      <c r="H27" s="462"/>
      <c r="I27" s="462"/>
      <c r="J27" s="462"/>
      <c r="K27" s="462"/>
      <c r="L27" s="462"/>
      <c r="M27" s="462">
        <f t="shared" si="13"/>
        <v>0</v>
      </c>
      <c r="N27" s="462"/>
      <c r="O27" s="462"/>
      <c r="P27" s="463"/>
      <c r="Q27" s="461">
        <f t="shared" ca="1" si="17"/>
        <v>138.75083294690057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7137.9197849542807</v>
      </c>
      <c r="C31" s="472">
        <f t="shared" ca="1" si="18"/>
        <v>7773.0957983193293</v>
      </c>
      <c r="D31" s="472">
        <f t="shared" ca="1" si="18"/>
        <v>15715.933881723957</v>
      </c>
      <c r="E31" s="472">
        <f t="shared" si="18"/>
        <v>658.83494059658869</v>
      </c>
      <c r="F31" s="472">
        <f t="shared" ca="1" si="18"/>
        <v>4861.0326656083807</v>
      </c>
      <c r="G31" s="472">
        <f t="shared" si="18"/>
        <v>9246.8555566695577</v>
      </c>
      <c r="H31" s="472">
        <f t="shared" si="18"/>
        <v>1842.4987165981559</v>
      </c>
      <c r="I31" s="472">
        <f t="shared" si="18"/>
        <v>0</v>
      </c>
      <c r="J31" s="472">
        <f t="shared" si="18"/>
        <v>214.26228074396943</v>
      </c>
      <c r="K31" s="472">
        <f t="shared" si="18"/>
        <v>0</v>
      </c>
      <c r="L31" s="472">
        <f t="shared" ca="1" si="18"/>
        <v>0</v>
      </c>
      <c r="M31" s="472">
        <f t="shared" si="18"/>
        <v>0</v>
      </c>
      <c r="N31" s="472">
        <f t="shared" ca="1" si="18"/>
        <v>0</v>
      </c>
      <c r="O31" s="472">
        <f t="shared" si="18"/>
        <v>0</v>
      </c>
      <c r="P31" s="473">
        <f t="shared" si="18"/>
        <v>0</v>
      </c>
      <c r="Q31" s="473">
        <f t="shared" ca="1" si="18"/>
        <v>47450.433625214209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0.21975465295937063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0.21975465295937063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0.21975465295937063</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2018-12-05T16:04:39Z</dcterms:modified>
</cp:coreProperties>
</file>