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C68" l="1"/>
  <c r="G101" i="18"/>
  <c r="F81" i="14"/>
  <c r="C101" i="18"/>
  <c r="Q13" i="14"/>
  <c r="L28" i="48"/>
  <c r="K22" i="14"/>
  <c r="P22" i="16"/>
  <c r="Q39" i="14" s="1"/>
  <c r="I16" i="18"/>
  <c r="H19"/>
  <c r="J7" i="48"/>
  <c r="J24" s="1"/>
  <c r="B101" i="18"/>
  <c r="C16" s="1"/>
  <c r="D101"/>
  <c r="L5" i="17"/>
  <c r="L8" s="1"/>
  <c r="E19" i="18"/>
  <c r="F101"/>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G30" s="1"/>
  <c r="H17" i="14"/>
  <c r="M5" i="22"/>
  <c r="M14" s="1"/>
  <c r="G5"/>
  <c r="H5"/>
  <c r="I14" i="48"/>
  <c r="E5" i="15"/>
  <c r="O20"/>
  <c r="P36" i="14" s="1"/>
  <c r="P10"/>
  <c r="P20" i="15"/>
  <c r="Q36" i="14" s="1"/>
  <c r="Q41" s="1"/>
  <c r="Q53" s="1"/>
  <c r="Q10"/>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K31"/>
  <c r="M25"/>
  <c r="M24"/>
  <c r="I31"/>
  <c r="C50" i="13"/>
  <c r="J5" s="1"/>
  <c r="J8" s="1"/>
  <c r="E7" i="48"/>
  <c r="E24" s="1"/>
  <c r="C5"/>
  <c r="J16" i="18" l="1"/>
  <c r="K78" i="14" s="1"/>
  <c r="J7" i="18"/>
  <c r="Q15" i="14"/>
  <c r="Q23" s="1"/>
  <c r="Q55" s="1"/>
  <c r="C14" i="48"/>
  <c r="H14" i="22"/>
  <c r="E13" i="14"/>
  <c r="E12" i="17"/>
  <c r="F48" i="14" s="1"/>
  <c r="L7" i="48"/>
  <c r="L24" s="1"/>
  <c r="L12" i="17"/>
  <c r="M48" i="14" s="1"/>
  <c r="M22"/>
  <c r="R17"/>
  <c r="F19"/>
  <c r="F20" s="1"/>
  <c r="D78"/>
  <c r="C19" i="18"/>
  <c r="J78" i="14"/>
  <c r="J81" s="1"/>
  <c r="I19" i="18"/>
  <c r="E18" i="22"/>
  <c r="F45" i="14" s="1"/>
  <c r="F46" s="1"/>
  <c r="G14" i="22"/>
  <c r="D9" i="48"/>
  <c r="D26" s="1"/>
  <c r="D8"/>
  <c r="D25" s="1"/>
  <c r="E10" i="14"/>
  <c r="D5" i="48"/>
  <c r="D22" s="1"/>
  <c r="J16" i="15"/>
  <c r="K10" i="14" s="1"/>
  <c r="C9" i="18"/>
  <c r="M7"/>
  <c r="M9" s="1"/>
  <c r="D67" i="14"/>
  <c r="N7" i="48"/>
  <c r="N24" s="1"/>
  <c r="N12" i="17"/>
  <c r="O48" i="14" s="1"/>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P55" i="14" l="1"/>
  <c r="E15"/>
  <c r="E23" s="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Q4"/>
  <c r="N22"/>
  <c r="R11" i="14"/>
  <c r="J21" i="48"/>
  <c r="R10" i="14"/>
  <c r="J14" i="48" l="1"/>
  <c r="O13" i="14"/>
  <c r="O15" s="1"/>
  <c r="F22" i="16"/>
  <c r="G39" i="14" s="1"/>
  <c r="G41" s="1"/>
  <c r="G53" s="1"/>
  <c r="G55" s="1"/>
  <c r="O69" s="1"/>
  <c r="B9" i="6" s="1"/>
  <c r="B12" s="1"/>
  <c r="N22" i="16"/>
  <c r="O39" i="14" s="1"/>
  <c r="O41" s="1"/>
  <c r="O53" s="1"/>
  <c r="F8" i="48"/>
  <c r="K13" i="14"/>
  <c r="K15" s="1"/>
  <c r="K23" s="1"/>
  <c r="J31" i="48"/>
  <c r="E25"/>
  <c r="E31" s="1"/>
  <c r="E14"/>
  <c r="N25"/>
  <c r="N31" s="1"/>
  <c r="N14"/>
  <c r="E22" i="16"/>
  <c r="F39" i="14" s="1"/>
  <c r="F41" s="1"/>
  <c r="F53" s="1"/>
  <c r="J22" i="16"/>
  <c r="K39" i="14" s="1"/>
  <c r="K41" s="1"/>
  <c r="K53" s="1"/>
  <c r="Q8" i="48"/>
  <c r="F13" i="14"/>
  <c r="F15" s="1"/>
  <c r="F23" s="1"/>
  <c r="G14" i="48"/>
  <c r="H55" i="14"/>
  <c r="M14" i="48"/>
  <c r="R19" i="14"/>
  <c r="R20" s="1"/>
  <c r="M26" i="48"/>
  <c r="M31" s="1"/>
  <c r="M53" i="14"/>
  <c r="M55" s="1"/>
  <c r="C12" i="13"/>
  <c r="D37" i="14" s="1"/>
  <c r="D41" s="1"/>
  <c r="C24" i="48"/>
  <c r="C28"/>
  <c r="C22"/>
  <c r="C25"/>
  <c r="C21"/>
  <c r="F25"/>
  <c r="F31" s="1"/>
  <c r="F14"/>
  <c r="Q14"/>
  <c r="R13" i="14" l="1"/>
  <c r="R15" s="1"/>
  <c r="K55"/>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<sst xmlns="http://schemas.openxmlformats.org/spreadsheetml/2006/main" count="2205" uniqueCount="914">
  <si>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</si>
  <si>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</si>
  <si>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</si>
  <si>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</si>
  <si>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</si>
  <si>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</si>
  <si>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</si>
  <si>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</si>
  <si>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</si>
  <si>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</si>
  <si>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</si>
  <si>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</si>
  <si>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</si>
  <si>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</si>
  <si>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</si>
  <si>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</si>
  <si>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</si>
  <si>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</si>
  <si>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</si>
  <si>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</si>
  <si>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</si>
  <si>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</si>
  <si>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</si>
  <si>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</si>
  <si>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</si>
  <si>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</si>
  <si>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</si>
  <si>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</si>
  <si>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</si>
  <si>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</si>
  <si>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</si>
  <si>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</si>
  <si>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</si>
  <si>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</si>
  <si>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</si>
  <si>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</si>
  <si>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</si>
  <si>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</si>
  <si>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</si>
  <si>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</si>
  <si>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</si>
  <si>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</si>
  <si>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</si>
  <si>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</si>
  <si>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</si>
  <si>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</si>
  <si>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</si>
  <si>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</si>
  <si>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</si>
  <si>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</si>
  <si>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</si>
  <si>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</si>
  <si>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</si>
  <si>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</si>
  <si>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</si>
  <si>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</si>
  <si>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</si>
  <si>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</si>
  <si>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</si>
  <si>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</si>
  <si>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</si>
  <si>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</si>
  <si>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</si>
  <si>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</si>
  <si>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</si>
  <si>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</si>
  <si>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</si>
  <si>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</si>
  <si>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</si>
  <si>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</si>
  <si>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</si>
  <si>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</si>
  <si>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</si>
  <si>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</si>
  <si>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</si>
  <si>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</si>
  <si>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</si>
  <si>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</si>
  <si>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</si>
  <si>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</si>
  <si>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</si>
  <si>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</si>
  <si>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</si>
  <si>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</si>
  <si>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</si>
  <si>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</si>
  <si>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</si>
  <si>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</si>
  <si>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</si>
  <si>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</si>
  <si>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</si>
  <si>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</si>
  <si>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</si>
  <si>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</si>
  <si>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</si>
  <si>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</si>
  <si>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</si>
  <si>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</si>
  <si>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</si>
  <si>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</si>
  <si>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</si>
  <si>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</si>
  <si>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</si>
  <si>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</si>
  <si>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</si>
  <si>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</si>
  <si>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</si>
  <si>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</si>
  <si>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</si>
  <si>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</si>
  <si>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</si>
  <si>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</si>
  <si>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</si>
  <si>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</si>
  <si>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</si>
  <si>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</si>
  <si>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</si>
  <si>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</si>
  <si>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</si>
  <si>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</si>
  <si>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</si>
  <si>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</si>
  <si>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</si>
  <si>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</si>
  <si>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</si>
  <si>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</si>
  <si>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</si>
  <si>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</si>
  <si>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</si>
  <si>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</si>
  <si>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</si>
  <si>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</si>
  <si>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</si>
  <si>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</si>
  <si>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</si>
  <si>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</si>
  <si>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</si>
  <si>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</si>
  <si>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</si>
  <si>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</si>
  <si>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</si>
  <si>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</si>
  <si>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</si>
  <si>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</si>
  <si>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</si>
  <si>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</si>
  <si>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</si>
  <si>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</si>
  <si>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</si>
  <si>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</si>
  <si>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</si>
  <si>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</si>
  <si>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</si>
  <si>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</si>
  <si>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</si>
  <si>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</si>
  <si>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</si>
  <si>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</si>
  <si>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</si>
  <si>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</si>
  <si>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</si>
  <si>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</si>
  <si>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</si>
  <si>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</si>
  <si>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</si>
  <si>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</si>
  <si>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</si>
  <si>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</si>
  <si>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</si>
  <si>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</si>
  <si>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</si>
  <si>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</si>
  <si>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</si>
  <si>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</si>
  <si>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</si>
  <si>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</si>
  <si>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</si>
  <si>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</si>
  <si>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</si>
  <si>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</si>
  <si>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</si>
  <si>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</si>
  <si>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</si>
  <si>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</si>
  <si>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</si>
  <si>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</si>
  <si>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</si>
  <si>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</si>
  <si>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</si>
  <si>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</si>
  <si>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</si>
  <si>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</si>
  <si>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</si>
  <si>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</si>
  <si>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</si>
  <si>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</si>
  <si>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</si>
  <si>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</si>
  <si>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</si>
  <si>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</si>
  <si>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</si>
  <si>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</si>
  <si>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</si>
  <si>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</si>
  <si>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</si>
  <si>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</si>
  <si>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</si>
  <si>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</si>
  <si>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</si>
  <si>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</si>
  <si>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</si>
  <si>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</si>
  <si>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</si>
  <si>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</si>
  <si>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</si>
  <si>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</si>
  <si>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</si>
  <si>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</si>
  <si>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</si>
  <si>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</si>
  <si>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</si>
  <si>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</si>
  <si>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</si>
  <si>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</si>
  <si>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</si>
  <si>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</si>
  <si>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</si>
  <si>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</si>
  <si>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</si>
  <si>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</si>
  <si>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</si>
  <si>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</si>
  <si>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</si>
  <si>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</si>
  <si>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</si>
  <si>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</si>
  <si>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</si>
  <si>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</si>
  <si>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</si>
  <si>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</si>
  <si>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</si>
  <si>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</si>
  <si>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</si>
  <si>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</si>
  <si>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</si>
  <si>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</si>
  <si>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</si>
  <si>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</si>
  <si>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</si>
  <si>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</si>
  <si>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</si>
  <si>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</si>
  <si>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</si>
  <si>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</si>
  <si>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</si>
  <si>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</si>
  <si>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</si>
  <si>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</si>
  <si>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</si>
  <si>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</si>
  <si>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</si>
  <si>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</si>
  <si>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</si>
  <si>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</si>
  <si>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</si>
  <si>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</si>
  <si>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</si>
  <si>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</si>
  <si>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</si>
  <si>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</si>
  <si>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</si>
  <si>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</si>
  <si>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</si>
  <si>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</si>
  <si>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</si>
  <si>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</si>
  <si>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</si>
  <si>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</si>
  <si>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</si>
  <si>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</si>
  <si>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</si>
  <si>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</si>
  <si>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</si>
  <si>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</si>
  <si>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</si>
  <si>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</si>
  <si>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</si>
  <si>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</si>
  <si>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</si>
  <si>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</si>
  <si>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</si>
  <si>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</si>
  <si>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</si>
  <si>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</si>
  <si>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</si>
  <si>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</si>
  <si>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</si>
  <si>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</si>
  <si>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</si>
  <si>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</si>
  <si>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</si>
  <si>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</si>
  <si>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</si>
  <si>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</si>
  <si>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</si>
  <si>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</si>
  <si>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</si>
  <si>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</si>
  <si>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</si>
  <si>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</si>
  <si>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</si>
  <si>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</si>
  <si>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</si>
  <si>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</si>
  <si>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</si>
  <si>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</si>
  <si>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</si>
  <si>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</si>
  <si>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</si>
  <si>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</si>
  <si>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</si>
  <si>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</si>
  <si>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</si>
  <si>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</si>
  <si>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</si>
  <si>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</si>
  <si>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</si>
  <si>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</si>
  <si>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</si>
  <si>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</si>
  <si>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</si>
  <si>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</si>
  <si>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</si>
  <si>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</si>
  <si>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</si>
  <si>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</si>
  <si>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</si>
  <si>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</si>
  <si>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</si>
  <si>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</si>
  <si>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</si>
  <si>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</si>
  <si>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</si>
  <si>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</si>
  <si>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</si>
  <si>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</si>
  <si>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</si>
  <si>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</si>
  <si>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</si>
  <si>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</si>
  <si>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</si>
  <si>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</si>
  <si>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</si>
  <si>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</si>
  <si>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</si>
  <si>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</si>
  <si>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</si>
  <si>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</si>
  <si>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</si>
  <si>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</si>
  <si>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</si>
  <si>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</si>
  <si>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</si>
  <si>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</si>
  <si>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</si>
  <si>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</si>
  <si>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</si>
  <si>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</si>
  <si>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</si>
  <si>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</si>
  <si>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</si>
  <si>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</si>
  <si>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</si>
  <si>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</si>
  <si>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</si>
  <si>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</si>
  <si>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</si>
  <si>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</si>
  <si>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</si>
  <si>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</si>
  <si>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</si>
  <si>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</si>
  <si>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</si>
  <si>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</si>
  <si>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</si>
  <si>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</si>
  <si>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</si>
  <si>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</si>
  <si>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</si>
  <si>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</si>
  <si>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</si>
  <si>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</si>
  <si>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</si>
  <si>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</si>
  <si>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</si>
  <si>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</si>
  <si>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</si>
  <si>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</si>
  <si>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</si>
  <si>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</si>
  <si>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</si>
  <si>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</si>
  <si>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</si>
  <si>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</si>
  <si>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</si>
  <si>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</si>
  <si>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</si>
  <si>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</si>
  <si>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</si>
  <si>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</si>
  <si>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</si>
  <si>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</si>
  <si>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</si>
  <si>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</si>
  <si>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</si>
  <si>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</si>
  <si>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</si>
  <si>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</si>
  <si>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</si>
  <si>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</si>
  <si>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</si>
  <si>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</si>
  <si>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</si>
  <si>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</si>
  <si>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</si>
  <si>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</si>
  <si>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</si>
  <si>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</si>
  <si>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</si>
  <si>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</si>
  <si>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</si>
  <si>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</si>
  <si>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</si>
  <si>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</si>
  <si>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</si>
  <si>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</si>
  <si>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</si>
  <si>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</si>
  <si>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</si>
  <si>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</si>
  <si>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</si>
  <si>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</si>
  <si>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</si>
  <si>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</si>
  <si>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</si>
  <si>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</si>
  <si>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</si>
  <si>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</si>
  <si>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</si>
  <si>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</si>
  <si>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</si>
  <si>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</si>
  <si>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</si>
  <si>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</si>
  <si>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</si>
  <si>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</si>
  <si>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</si>
  <si>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</si>
  <si>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</si>
  <si>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</si>
  <si>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</si>
  <si>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</si>
  <si>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</si>
  <si>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</si>
  <si>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</si>
  <si>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</si>
  <si>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</si>
  <si>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</si>
  <si>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</si>
  <si>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</si>
  <si>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</si>
  <si>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</si>
  <si>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</si>
  <si>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</si>
  <si>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</si>
  <si>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</si>
  <si>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</si>
  <si>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</si>
  <si>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</si>
  <si>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</si>
  <si>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</si>
  <si>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</si>
  <si>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</si>
  <si>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</si>
  <si>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</si>
  <si>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</si>
  <si>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</si>
  <si>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</si>
  <si>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</si>
  <si>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</si>
  <si>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</si>
  <si>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</si>
  <si>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</si>
  <si>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</si>
  <si>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</si>
  <si>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</si>
  <si>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</si>
  <si>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</si>
  <si>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</si>
  <si>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</si>
  <si>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</si>
  <si>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</si>
  <si>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</si>
  <si>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</si>
  <si>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</si>
  <si>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</si>
  <si>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</si>
  <si>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</si>
  <si>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</si>
  <si>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</si>
  <si>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</si>
  <si>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</si>
  <si>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</si>
  <si>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</si>
  <si>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</si>
  <si>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</si>
  <si>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</si>
  <si>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</si>
  <si>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</si>
  <si>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</si>
  <si>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</si>
  <si>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</si>
  <si>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</si>
  <si>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</si>
  <si>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</si>
  <si>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</si>
  <si>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</si>
  <si>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</si>
  <si>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</si>
  <si>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</si>
  <si>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</si>
  <si>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</si>
  <si>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</si>
  <si>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</si>
  <si>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</si>
  <si>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</si>
  <si>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</si>
  <si>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</si>
  <si>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</si>
  <si>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</si>
  <si>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</si>
  <si>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</si>
  <si>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</si>
  <si>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</si>
  <si>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</si>
  <si>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</si>
  <si>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</si>
  <si>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</si>
  <si>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</si>
  <si>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</si>
  <si>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</si>
  <si>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</si>
  <si>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</si>
  <si>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</si>
  <si>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</si>
  <si>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</si>
  <si>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</si>
  <si>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</si>
  <si>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</si>
  <si>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</si>
  <si>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</si>
  <si>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</si>
  <si>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</si>
  <si>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</si>
  <si>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</si>
  <si>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</si>
  <si>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</si>
  <si>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</si>
  <si>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</si>
  <si>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</si>
  <si>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</si>
  <si>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</si>
  <si>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</si>
  <si>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</si>
  <si>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</si>
  <si>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</si>
  <si>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</si>
  <si>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</si>
  <si>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</si>
  <si>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</si>
  <si>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</si>
  <si>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</si>
  <si>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</si>
  <si>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</si>
  <si>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</si>
  <si>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</si>
  <si>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</si>
  <si>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</si>
  <si>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</si>
  <si>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</si>
  <si>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</si>
  <si>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</si>
  <si>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</si>
  <si>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</si>
  <si>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</si>
  <si>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</si>
  <si>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</si>
  <si>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</si>
  <si>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</si>
  <si>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</si>
  <si>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</si>
  <si>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</si>
  <si>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</si>
  <si>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</si>
  <si>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</si>
  <si>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</si>
  <si>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</si>
  <si>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</si>
  <si>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</si>
  <si>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</si>
  <si>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</si>
  <si>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</si>
  <si>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</si>
  <si>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</si>
  <si>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</si>
  <si>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</si>
  <si>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</si>
  <si>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</si>
  <si>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</si>
  <si>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</si>
  <si>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</si>
  <si>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</si>
  <si>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</si>
  <si>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</si>
  <si>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</si>
  <si>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</si>
  <si>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</si>
  <si>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</si>
  <si>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</si>
  <si>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</si>
  <si>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</si>
  <si>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</si>
  <si>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</si>
  <si>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</si>
  <si>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</si>
  <si>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</si>
  <si>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</si>
  <si>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</si>
  <si>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</si>
  <si>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</si>
  <si>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</si>
  <si>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</si>
  <si>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</si>
  <si>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</si>
  <si>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</si>
  <si>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</si>
  <si>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</si>
  <si>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</si>
  <si>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</si>
  <si>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</si>
  <si>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</si>
  <si>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</si>
  <si>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</si>
  <si>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</si>
  <si>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</si>
  <si>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</si>
  <si>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</si>
  <si>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</si>
  <si>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</si>
  <si>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</si>
  <si>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</si>
  <si>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</si>
  <si>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</si>
  <si>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</si>
  <si>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</si>
  <si>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</si>
  <si>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</si>
  <si>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</si>
  <si>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</si>
  <si>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</si>
  <si>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</si>
  <si>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</si>
  <si>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</si>
  <si>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</si>
  <si>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</si>
  <si>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</si>
  <si>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</si>
  <si>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</si>
  <si>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</si>
  <si>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</si>
  <si>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</si>
  <si>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</si>
  <si>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</si>
  <si>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</si>
  <si>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</si>
  <si>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</si>
  <si>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</si>
  <si>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</si>
  <si>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</si>
  <si>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</si>
  <si>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</si>
  <si>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</si>
  <si>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</si>
  <si>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</si>
  <si>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</si>
  <si>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</si>
  <si>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</si>
  <si>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</si>
  <si>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</si>
  <si>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</si>
  <si>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</si>
  <si>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</si>
  <si>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</si>
  <si>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</si>
  <si>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</si>
  <si>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</si>
  <si>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</si>
  <si>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</si>
  <si>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</si>
  <si>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</si>
  <si>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</si>
  <si>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</si>
  <si>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</si>
  <si>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</si>
  <si>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</si>
  <si>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</si>
  <si>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</si>
  <si>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</si>
  <si>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</si>
  <si>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</si>
  <si>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</si>
  <si>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</si>
  <si>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</si>
  <si>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</si>
  <si>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</si>
  <si>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</si>
  <si>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</si>
  <si>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</si>
  <si>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</si>
  <si>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</si>
  <si>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</si>
  <si>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</si>
  <si>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</si>
  <si>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</si>
  <si>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</si>
  <si>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</si>
  <si>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</si>
  <si>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</si>
  <si>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</si>
  <si>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</si>
  <si>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</si>
  <si>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</si>
  <si>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</si>
  <si>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</si>
  <si>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</si>
  <si>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</si>
  <si>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</si>
  <si>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</si>
  <si>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</si>
  <si>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</si>
  <si>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</si>
  <si>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</si>
  <si>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</si>
  <si>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</si>
  <si>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</si>
  <si>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</si>
  <si>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</si>
  <si>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</si>
  <si>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</si>
  <si>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</si>
  <si>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</si>
  <si>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</si>
  <si>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</si>
  <si>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</si>
  <si>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</si>
  <si>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</si>
  <si>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</si>
  <si>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</si>
  <si>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</si>
  <si>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</si>
  <si>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</si>
  <si>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</si>
  <si>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</si>
  <si>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</si>
  <si>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</si>
  <si>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</si>
  <si>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</si>
  <si>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</si>
  <si>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</si>
  <si>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</si>
  <si>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</si>
  <si>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</si>
  <si>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</si>
  <si>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</si>
  <si>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</si>
  <si>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</si>
  <si>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</si>
  <si>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</si>
  <si>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</si>
  <si>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</si>
  <si>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</si>
  <si>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</si>
  <si>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</si>
  <si>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</si>
  <si>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</si>
  <si>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</si>
  <si>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</si>
  <si>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</si>
  <si>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</si>
  <si>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</si>
  <si>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</si>
  <si>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</si>
  <si>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</si>
  <si>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</si>
  <si>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</si>
  <si>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</si>
  <si>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</si>
  <si>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</si>
  <si>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</si>
  <si>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</si>
  <si>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</si>
  <si>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</si>
  <si>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</si>
  <si>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</si>
  <si>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</si>
  <si>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</si>
  <si>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</si>
  <si>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</si>
  <si>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</si>
  <si>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</si>
  <si>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</si>
  <si>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</si>
  <si>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</si>
  <si>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</si>
  <si>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</si>
  <si>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</si>
  <si>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</si>
  <si>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</si>
  <si>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</si>
  <si>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</si>
  <si>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</si>
  <si>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</si>
  <si>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</si>
  <si>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</si>
  <si>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</si>
  <si>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</si>
  <si>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</si>
  <si>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</si>
  <si>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</si>
  <si>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</si>
  <si>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</si>
  <si>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</si>
  <si>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</si>
  <si>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</si>
  <si>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</si>
  <si>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</si>
  <si>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</si>
  <si>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</si>
  <si>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</si>
  <si>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</si>
  <si>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</si>
  <si>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</si>
  <si>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</si>
  <si>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</si>
  <si>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</si>
  <si>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</si>
  <si>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</si>
  <si>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</si>
  <si>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</si>
  <si>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</si>
  <si>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</si>
  <si>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</si>
  <si>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</si>
  <si>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</si>
  <si>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</si>
  <si>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</si>
  <si>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</si>
  <si>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</si>
  <si>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</si>
  <si>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</si>
  <si>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</si>
  <si>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</si>
  <si>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</si>
  <si>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</si>
  <si>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</si>
  <si>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</si>
  <si>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</si>
  <si>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</si>
  <si>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</si>
  <si>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</si>
  <si>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</si>
  <si>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</si>
  <si>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</si>
  <si>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</si>
  <si>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</si>
  <si>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</si>
  <si>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</si>
  <si>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</si>
  <si>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</si>
  <si>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</si>
  <si>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</si>
  <si>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</si>
  <si>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</si>
  <si>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</si>
  <si>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</si>
  <si>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</si>
  <si>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</si>
  <si>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</si>
  <si>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</si>
  <si>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</si>
  <si>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</si>
  <si>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</si>
  <si>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</si>
  <si>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</si>
  <si>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</si>
  <si>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</si>
  <si>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</si>
  <si>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</si>
  <si>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11040</t>
  </si>
  <si>
    <t>SCHOTEN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</si>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</sst>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11040</v>
      </c>
      <c r="B6" s="397"/>
      <c r="C6" s="398"/>
    </row>
    <row r="7" spans="1:7" s="395" customFormat="1" ht="15.75" customHeight="1">
      <c r="A7" s="399" t="str">
        <f>txtMunicipality</f>
        <v>SCHOTEN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50919.629118282675</v>
      </c>
      <c r="D10" s="703">
        <f ca="1">tertiair!C16</f>
        <v>0</v>
      </c>
      <c r="E10" s="703">
        <f ca="1">tertiair!D16</f>
        <v>60435.484604769343</v>
      </c>
      <c r="F10" s="703">
        <f>tertiair!E16</f>
        <v>375.27651574315553</v>
      </c>
      <c r="G10" s="703">
        <f ca="1">tertiair!F16</f>
        <v>9338.2211520270557</v>
      </c>
      <c r="H10" s="703">
        <f>tertiair!G16</f>
        <v>0</v>
      </c>
      <c r="I10" s="703">
        <f>tertiair!H16</f>
        <v>0</v>
      </c>
      <c r="J10" s="703">
        <f>tertiair!I16</f>
        <v>0</v>
      </c>
      <c r="K10" s="703">
        <f>tertiair!J16</f>
        <v>0</v>
      </c>
      <c r="L10" s="703">
        <f>tertiair!K16</f>
        <v>0</v>
      </c>
      <c r="M10" s="703">
        <f ca="1">tertiair!L16</f>
        <v>0</v>
      </c>
      <c r="N10" s="703">
        <f>tertiair!M16</f>
        <v>0</v>
      </c>
      <c r="O10" s="703">
        <f ca="1">tertiair!N16</f>
        <v>1953.9561611485767</v>
      </c>
      <c r="P10" s="703">
        <f>tertiair!O16</f>
        <v>1.5633333333333335</v>
      </c>
      <c r="Q10" s="704">
        <f>tertiair!P16</f>
        <v>0</v>
      </c>
      <c r="R10" s="706">
        <f ca="1">SUM(C10:Q10)</f>
        <v>123024.13088530414</v>
      </c>
      <c r="S10" s="68"/>
    </row>
    <row r="11" spans="1:19" s="458" customFormat="1">
      <c r="A11" s="859" t="s">
        <v>225</v>
      </c>
      <c r="B11" s="864"/>
      <c r="C11" s="703">
        <f>huishoudens!B8</f>
        <v>63282.548776283627</v>
      </c>
      <c r="D11" s="703">
        <f>huishoudens!C8</f>
        <v>0</v>
      </c>
      <c r="E11" s="703">
        <f>huishoudens!D8</f>
        <v>193543.30532852339</v>
      </c>
      <c r="F11" s="703">
        <f>huishoudens!E8</f>
        <v>2105.4234840073846</v>
      </c>
      <c r="G11" s="703">
        <f>huishoudens!F8</f>
        <v>5614.0230919727883</v>
      </c>
      <c r="H11" s="703">
        <f>huishoudens!G8</f>
        <v>0</v>
      </c>
      <c r="I11" s="703">
        <f>huishoudens!H8</f>
        <v>0</v>
      </c>
      <c r="J11" s="703">
        <f>huishoudens!I8</f>
        <v>0</v>
      </c>
      <c r="K11" s="703">
        <f>huishoudens!J8</f>
        <v>0</v>
      </c>
      <c r="L11" s="703">
        <f>huishoudens!K8</f>
        <v>0</v>
      </c>
      <c r="M11" s="703">
        <f>huishoudens!L8</f>
        <v>0</v>
      </c>
      <c r="N11" s="703">
        <f>huishoudens!M8</f>
        <v>0</v>
      </c>
      <c r="O11" s="703">
        <f>huishoudens!N8</f>
        <v>11538.20042899381</v>
      </c>
      <c r="P11" s="703">
        <f>huishoudens!O8</f>
        <v>109.43333333333334</v>
      </c>
      <c r="Q11" s="704">
        <f>huishoudens!P8</f>
        <v>95.333333333333343</v>
      </c>
      <c r="R11" s="706">
        <f>SUM(C11:Q11)</f>
        <v>276288.26777644764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53697.041222550281</v>
      </c>
      <c r="D13" s="703">
        <f>industrie!C18</f>
        <v>0</v>
      </c>
      <c r="E13" s="703">
        <f>industrie!D18</f>
        <v>131757.72361113678</v>
      </c>
      <c r="F13" s="703">
        <f>industrie!E18</f>
        <v>486.2027232741417</v>
      </c>
      <c r="G13" s="703">
        <f>industrie!F18</f>
        <v>12090.421040241454</v>
      </c>
      <c r="H13" s="703">
        <f>industrie!G18</f>
        <v>0</v>
      </c>
      <c r="I13" s="703">
        <f>industrie!H18</f>
        <v>0</v>
      </c>
      <c r="J13" s="703">
        <f>industrie!I18</f>
        <v>0</v>
      </c>
      <c r="K13" s="703">
        <f>industrie!J18</f>
        <v>139.94833177739429</v>
      </c>
      <c r="L13" s="703">
        <f>industrie!K18</f>
        <v>0</v>
      </c>
      <c r="M13" s="703">
        <f>industrie!L18</f>
        <v>0</v>
      </c>
      <c r="N13" s="703">
        <f>industrie!M18</f>
        <v>0</v>
      </c>
      <c r="O13" s="703">
        <f>industrie!N18</f>
        <v>1591.4348727769257</v>
      </c>
      <c r="P13" s="703">
        <f>industrie!O18</f>
        <v>0</v>
      </c>
      <c r="Q13" s="704">
        <f>industrie!P18</f>
        <v>0</v>
      </c>
      <c r="R13" s="706">
        <f>SUM(C13:Q13)</f>
        <v>199762.77180175699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167899.21911711659</v>
      </c>
      <c r="D15" s="708">
        <f t="shared" ref="D15:Q15" ca="1" si="0">SUM(D9:D14)</f>
        <v>0</v>
      </c>
      <c r="E15" s="708">
        <f t="shared" ca="1" si="0"/>
        <v>385736.5135444295</v>
      </c>
      <c r="F15" s="708">
        <f t="shared" si="0"/>
        <v>2966.9027230246816</v>
      </c>
      <c r="G15" s="708">
        <f t="shared" ca="1" si="0"/>
        <v>27042.665284241299</v>
      </c>
      <c r="H15" s="708">
        <f t="shared" si="0"/>
        <v>0</v>
      </c>
      <c r="I15" s="708">
        <f t="shared" si="0"/>
        <v>0</v>
      </c>
      <c r="J15" s="708">
        <f t="shared" si="0"/>
        <v>0</v>
      </c>
      <c r="K15" s="708">
        <f t="shared" si="0"/>
        <v>139.94833177739429</v>
      </c>
      <c r="L15" s="708">
        <f t="shared" si="0"/>
        <v>0</v>
      </c>
      <c r="M15" s="708">
        <f t="shared" ca="1" si="0"/>
        <v>0</v>
      </c>
      <c r="N15" s="708">
        <f t="shared" si="0"/>
        <v>0</v>
      </c>
      <c r="O15" s="708">
        <f t="shared" ca="1" si="0"/>
        <v>15083.591462919314</v>
      </c>
      <c r="P15" s="708">
        <f t="shared" si="0"/>
        <v>110.99666666666667</v>
      </c>
      <c r="Q15" s="709">
        <f t="shared" si="0"/>
        <v>95.333333333333343</v>
      </c>
      <c r="R15" s="710">
        <f ca="1">SUM(R9:R14)</f>
        <v>599075.17046350869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4002.3527340450282</v>
      </c>
      <c r="I18" s="703">
        <f>transport!H54</f>
        <v>0</v>
      </c>
      <c r="J18" s="703">
        <f>transport!I54</f>
        <v>0</v>
      </c>
      <c r="K18" s="703">
        <f>transport!J54</f>
        <v>0</v>
      </c>
      <c r="L18" s="703">
        <f>transport!K54</f>
        <v>0</v>
      </c>
      <c r="M18" s="703">
        <f>transport!L54</f>
        <v>0</v>
      </c>
      <c r="N18" s="703">
        <f>transport!M54</f>
        <v>175.74991084573267</v>
      </c>
      <c r="O18" s="703">
        <f>transport!N54</f>
        <v>0</v>
      </c>
      <c r="P18" s="703">
        <f>transport!O54</f>
        <v>0</v>
      </c>
      <c r="Q18" s="704">
        <f>transport!P54</f>
        <v>0</v>
      </c>
      <c r="R18" s="706">
        <f>SUM(C18:Q18)</f>
        <v>4178.1026448907605</v>
      </c>
      <c r="S18" s="68"/>
    </row>
    <row r="19" spans="1:19" s="458" customFormat="1" ht="15" thickBot="1">
      <c r="A19" s="859" t="s">
        <v>307</v>
      </c>
      <c r="B19" s="864"/>
      <c r="C19" s="712">
        <f>transport!B14</f>
        <v>6.4836426974435808</v>
      </c>
      <c r="D19" s="712">
        <f>transport!C14</f>
        <v>0</v>
      </c>
      <c r="E19" s="712">
        <f>transport!D14</f>
        <v>17.91236509976293</v>
      </c>
      <c r="F19" s="712">
        <f>transport!E14</f>
        <v>1184.7353935859553</v>
      </c>
      <c r="G19" s="712">
        <f>transport!F14</f>
        <v>0</v>
      </c>
      <c r="H19" s="712">
        <f>transport!G14</f>
        <v>281555.69290114089</v>
      </c>
      <c r="I19" s="712">
        <f>transport!H14</f>
        <v>41110.28482750454</v>
      </c>
      <c r="J19" s="712">
        <f>transport!I14</f>
        <v>0</v>
      </c>
      <c r="K19" s="712">
        <f>transport!J14</f>
        <v>0</v>
      </c>
      <c r="L19" s="712">
        <f>transport!K14</f>
        <v>0</v>
      </c>
      <c r="M19" s="712">
        <f>transport!L14</f>
        <v>0</v>
      </c>
      <c r="N19" s="712">
        <f>transport!M14</f>
        <v>14418.329108257441</v>
      </c>
      <c r="O19" s="712">
        <f>transport!N14</f>
        <v>0</v>
      </c>
      <c r="P19" s="712">
        <f>transport!O14</f>
        <v>0</v>
      </c>
      <c r="Q19" s="713">
        <f>transport!P14</f>
        <v>0</v>
      </c>
      <c r="R19" s="714">
        <f>SUM(C19:Q19)</f>
        <v>338293.43823828601</v>
      </c>
      <c r="S19" s="68"/>
    </row>
    <row r="20" spans="1:19" s="458" customFormat="1" ht="15.75" thickBot="1">
      <c r="A20" s="715" t="s">
        <v>230</v>
      </c>
      <c r="B20" s="867"/>
      <c r="C20" s="862">
        <f>SUM(C17:C19)</f>
        <v>6.4836426974435808</v>
      </c>
      <c r="D20" s="716">
        <f t="shared" ref="D20:R20" si="1">SUM(D17:D19)</f>
        <v>0</v>
      </c>
      <c r="E20" s="716">
        <f t="shared" si="1"/>
        <v>17.91236509976293</v>
      </c>
      <c r="F20" s="716">
        <f t="shared" si="1"/>
        <v>1184.7353935859553</v>
      </c>
      <c r="G20" s="716">
        <f t="shared" si="1"/>
        <v>0</v>
      </c>
      <c r="H20" s="716">
        <f t="shared" si="1"/>
        <v>285558.0456351859</v>
      </c>
      <c r="I20" s="716">
        <f t="shared" si="1"/>
        <v>41110.28482750454</v>
      </c>
      <c r="J20" s="716">
        <f t="shared" si="1"/>
        <v>0</v>
      </c>
      <c r="K20" s="716">
        <f t="shared" si="1"/>
        <v>0</v>
      </c>
      <c r="L20" s="716">
        <f t="shared" si="1"/>
        <v>0</v>
      </c>
      <c r="M20" s="716">
        <f t="shared" si="1"/>
        <v>0</v>
      </c>
      <c r="N20" s="716">
        <f t="shared" si="1"/>
        <v>14594.079019103174</v>
      </c>
      <c r="O20" s="716">
        <f t="shared" si="1"/>
        <v>0</v>
      </c>
      <c r="P20" s="716">
        <f t="shared" si="1"/>
        <v>0</v>
      </c>
      <c r="Q20" s="717">
        <f t="shared" si="1"/>
        <v>0</v>
      </c>
      <c r="R20" s="718">
        <f t="shared" si="1"/>
        <v>342471.54088317679</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228.33677223527542</v>
      </c>
      <c r="D22" s="712">
        <f>+landbouw!C8</f>
        <v>0</v>
      </c>
      <c r="E22" s="712">
        <f>+landbouw!D8</f>
        <v>8952.4364574389419</v>
      </c>
      <c r="F22" s="712">
        <f>+landbouw!E8</f>
        <v>2.1510853851122591</v>
      </c>
      <c r="G22" s="712">
        <f>+landbouw!F8</f>
        <v>745.13866612330935</v>
      </c>
      <c r="H22" s="712">
        <f>+landbouw!G8</f>
        <v>0</v>
      </c>
      <c r="I22" s="712">
        <f>+landbouw!H8</f>
        <v>0</v>
      </c>
      <c r="J22" s="712">
        <f>+landbouw!I8</f>
        <v>0</v>
      </c>
      <c r="K22" s="712">
        <f>+landbouw!J8</f>
        <v>28.246369355350382</v>
      </c>
      <c r="L22" s="712">
        <f>+landbouw!K8</f>
        <v>0</v>
      </c>
      <c r="M22" s="712">
        <f>+landbouw!L8</f>
        <v>0</v>
      </c>
      <c r="N22" s="712">
        <f>+landbouw!M8</f>
        <v>0</v>
      </c>
      <c r="O22" s="712">
        <f>+landbouw!N8</f>
        <v>0</v>
      </c>
      <c r="P22" s="712">
        <f>+landbouw!O8</f>
        <v>0</v>
      </c>
      <c r="Q22" s="713">
        <f>+landbouw!P8</f>
        <v>0</v>
      </c>
      <c r="R22" s="714">
        <f>SUM(C22:Q22)</f>
        <v>9956.3093505379911</v>
      </c>
      <c r="S22" s="68"/>
    </row>
    <row r="23" spans="1:19" s="458" customFormat="1" ht="17.25" thickTop="1" thickBot="1">
      <c r="A23" s="719" t="s">
        <v>116</v>
      </c>
      <c r="B23" s="853"/>
      <c r="C23" s="720">
        <f ca="1">C20+C15+C22</f>
        <v>168134.03953204933</v>
      </c>
      <c r="D23" s="720">
        <f t="shared" ref="D23:Q23" ca="1" si="2">D20+D15+D22</f>
        <v>0</v>
      </c>
      <c r="E23" s="720">
        <f t="shared" ca="1" si="2"/>
        <v>394706.86236696818</v>
      </c>
      <c r="F23" s="720">
        <f t="shared" si="2"/>
        <v>4153.789201995749</v>
      </c>
      <c r="G23" s="720">
        <f t="shared" ca="1" si="2"/>
        <v>27787.803950364607</v>
      </c>
      <c r="H23" s="720">
        <f t="shared" si="2"/>
        <v>285558.0456351859</v>
      </c>
      <c r="I23" s="720">
        <f t="shared" si="2"/>
        <v>41110.28482750454</v>
      </c>
      <c r="J23" s="720">
        <f t="shared" si="2"/>
        <v>0</v>
      </c>
      <c r="K23" s="720">
        <f t="shared" si="2"/>
        <v>168.19470113274468</v>
      </c>
      <c r="L23" s="720">
        <f t="shared" si="2"/>
        <v>0</v>
      </c>
      <c r="M23" s="720">
        <f t="shared" ca="1" si="2"/>
        <v>0</v>
      </c>
      <c r="N23" s="720">
        <f t="shared" si="2"/>
        <v>14594.079019103174</v>
      </c>
      <c r="O23" s="720">
        <f t="shared" ca="1" si="2"/>
        <v>15083.591462919314</v>
      </c>
      <c r="P23" s="720">
        <f t="shared" si="2"/>
        <v>110.99666666666667</v>
      </c>
      <c r="Q23" s="721">
        <f t="shared" si="2"/>
        <v>95.333333333333343</v>
      </c>
      <c r="R23" s="722">
        <f ca="1">R20+R15+R22</f>
        <v>951503.02069722337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11055.52614226812</v>
      </c>
      <c r="D36" s="703">
        <f ca="1">tertiair!C20</f>
        <v>0</v>
      </c>
      <c r="E36" s="703">
        <f ca="1">tertiair!D20</f>
        <v>12207.967890163409</v>
      </c>
      <c r="F36" s="703">
        <f>tertiair!E20</f>
        <v>85.187769073696302</v>
      </c>
      <c r="G36" s="703">
        <f ca="1">tertiair!F20</f>
        <v>2493.3050475912241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25841.986849096447</v>
      </c>
    </row>
    <row r="37" spans="1:18">
      <c r="A37" s="874" t="s">
        <v>225</v>
      </c>
      <c r="B37" s="881"/>
      <c r="C37" s="703">
        <f ca="1">huishoudens!B12</f>
        <v>13739.728361343507</v>
      </c>
      <c r="D37" s="703">
        <f ca="1">huishoudens!C12</f>
        <v>0</v>
      </c>
      <c r="E37" s="703">
        <f>huishoudens!D12</f>
        <v>39095.747676361731</v>
      </c>
      <c r="F37" s="703">
        <f>huishoudens!E12</f>
        <v>477.93113086967634</v>
      </c>
      <c r="G37" s="703">
        <f>huishoudens!F12</f>
        <v>1498.9441655567346</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54812.35133413165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11658.55001848794</v>
      </c>
      <c r="D39" s="703">
        <f ca="1">industrie!C22</f>
        <v>0</v>
      </c>
      <c r="E39" s="703">
        <f>industrie!D22</f>
        <v>26615.060169449633</v>
      </c>
      <c r="F39" s="703">
        <f>industrie!E22</f>
        <v>110.36801818323018</v>
      </c>
      <c r="G39" s="703">
        <f>industrie!F22</f>
        <v>3228.1424177444683</v>
      </c>
      <c r="H39" s="703">
        <f>industrie!G22</f>
        <v>0</v>
      </c>
      <c r="I39" s="703">
        <f>industrie!H22</f>
        <v>0</v>
      </c>
      <c r="J39" s="703">
        <f>industrie!I22</f>
        <v>0</v>
      </c>
      <c r="K39" s="703">
        <f>industrie!J22</f>
        <v>49.541709449197576</v>
      </c>
      <c r="L39" s="703">
        <f>industrie!K22</f>
        <v>0</v>
      </c>
      <c r="M39" s="703">
        <f>industrie!L22</f>
        <v>0</v>
      </c>
      <c r="N39" s="703">
        <f>industrie!M22</f>
        <v>0</v>
      </c>
      <c r="O39" s="703">
        <f>industrie!N22</f>
        <v>0</v>
      </c>
      <c r="P39" s="703">
        <f>industrie!O22</f>
        <v>0</v>
      </c>
      <c r="Q39" s="813">
        <f>industrie!P22</f>
        <v>0</v>
      </c>
      <c r="R39" s="907">
        <f ca="1">SUM(C39:Q39)</f>
        <v>41661.662333314474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36453.80452209957</v>
      </c>
      <c r="D41" s="748">
        <f t="shared" ref="D41:R41" ca="1" si="4">SUM(D35:D40)</f>
        <v>0</v>
      </c>
      <c r="E41" s="748">
        <f t="shared" ca="1" si="4"/>
        <v>77918.775735974777</v>
      </c>
      <c r="F41" s="748">
        <f t="shared" si="4"/>
        <v>673.48691812660286</v>
      </c>
      <c r="G41" s="748">
        <f t="shared" ca="1" si="4"/>
        <v>7220.3916308924272</v>
      </c>
      <c r="H41" s="748">
        <f t="shared" si="4"/>
        <v>0</v>
      </c>
      <c r="I41" s="748">
        <f t="shared" si="4"/>
        <v>0</v>
      </c>
      <c r="J41" s="748">
        <f t="shared" si="4"/>
        <v>0</v>
      </c>
      <c r="K41" s="748">
        <f t="shared" si="4"/>
        <v>49.541709449197576</v>
      </c>
      <c r="L41" s="748">
        <f t="shared" si="4"/>
        <v>0</v>
      </c>
      <c r="M41" s="748">
        <f t="shared" ca="1" si="4"/>
        <v>0</v>
      </c>
      <c r="N41" s="748">
        <f t="shared" si="4"/>
        <v>0</v>
      </c>
      <c r="O41" s="748">
        <f t="shared" ca="1" si="4"/>
        <v>0</v>
      </c>
      <c r="P41" s="748">
        <f t="shared" si="4"/>
        <v>0</v>
      </c>
      <c r="Q41" s="749">
        <f t="shared" si="4"/>
        <v>0</v>
      </c>
      <c r="R41" s="750">
        <f t="shared" ca="1" si="4"/>
        <v>122316.00051654258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1068.6281799900225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1068.6281799900225</v>
      </c>
    </row>
    <row r="45" spans="1:18" ht="15" thickBot="1">
      <c r="A45" s="877" t="s">
        <v>307</v>
      </c>
      <c r="B45" s="887"/>
      <c r="C45" s="712">
        <f ca="1">transport!B18</f>
        <v>1.4077102009562084</v>
      </c>
      <c r="D45" s="712">
        <f>transport!C18</f>
        <v>0</v>
      </c>
      <c r="E45" s="712">
        <f>transport!D18</f>
        <v>3.6182977501521121</v>
      </c>
      <c r="F45" s="712">
        <f>transport!E18</f>
        <v>268.93493434401188</v>
      </c>
      <c r="G45" s="712">
        <f>transport!F18</f>
        <v>0</v>
      </c>
      <c r="H45" s="712">
        <f>transport!G18</f>
        <v>75175.370004604629</v>
      </c>
      <c r="I45" s="712">
        <f>transport!H18</f>
        <v>10236.460922048631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85685.791868948378</v>
      </c>
    </row>
    <row r="46" spans="1:18" ht="15.75" thickBot="1">
      <c r="A46" s="875" t="s">
        <v>230</v>
      </c>
      <c r="B46" s="888"/>
      <c r="C46" s="748">
        <f t="shared" ref="C46:R46" ca="1" si="5">SUM(C43:C45)</f>
        <v>1.4077102009562084</v>
      </c>
      <c r="D46" s="748">
        <f t="shared" ca="1" si="5"/>
        <v>0</v>
      </c>
      <c r="E46" s="748">
        <f t="shared" si="5"/>
        <v>3.6182977501521121</v>
      </c>
      <c r="F46" s="748">
        <f t="shared" si="5"/>
        <v>268.93493434401188</v>
      </c>
      <c r="G46" s="748">
        <f t="shared" si="5"/>
        <v>0</v>
      </c>
      <c r="H46" s="748">
        <f t="shared" si="5"/>
        <v>76243.998184594646</v>
      </c>
      <c r="I46" s="748">
        <f t="shared" si="5"/>
        <v>10236.460922048631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86754.420048938395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49.575835456779281</v>
      </c>
      <c r="D48" s="703">
        <f ca="1">+landbouw!C12</f>
        <v>0</v>
      </c>
      <c r="E48" s="703">
        <f>+landbouw!D12</f>
        <v>1808.3921644026664</v>
      </c>
      <c r="F48" s="703">
        <f>+landbouw!E12</f>
        <v>0.48829638242048284</v>
      </c>
      <c r="G48" s="703">
        <f>+landbouw!F12</f>
        <v>198.9520238549236</v>
      </c>
      <c r="H48" s="703">
        <f>+landbouw!G12</f>
        <v>0</v>
      </c>
      <c r="I48" s="703">
        <f>+landbouw!H12</f>
        <v>0</v>
      </c>
      <c r="J48" s="703">
        <f>+landbouw!I12</f>
        <v>0</v>
      </c>
      <c r="K48" s="703">
        <f>+landbouw!J12</f>
        <v>9.9992147517940353</v>
      </c>
      <c r="L48" s="703">
        <f>+landbouw!K12</f>
        <v>0</v>
      </c>
      <c r="M48" s="703">
        <f>+landbouw!L12</f>
        <v>0</v>
      </c>
      <c r="N48" s="703">
        <f>+landbouw!M12</f>
        <v>0</v>
      </c>
      <c r="O48" s="703">
        <f>+landbouw!N12</f>
        <v>0</v>
      </c>
      <c r="P48" s="703">
        <f>+landbouw!O12</f>
        <v>0</v>
      </c>
      <c r="Q48" s="704">
        <f>+landbouw!P12</f>
        <v>0</v>
      </c>
      <c r="R48" s="746">
        <f ca="1">SUM(C48:Q48)</f>
        <v>2067.407534848584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36504.788067757305</v>
      </c>
      <c r="D53" s="758">
        <f t="shared" ref="D53:Q53" ca="1" si="6">D41+D46+D48</f>
        <v>0</v>
      </c>
      <c r="E53" s="758">
        <f t="shared" ca="1" si="6"/>
        <v>79730.786198127593</v>
      </c>
      <c r="F53" s="758">
        <f t="shared" si="6"/>
        <v>942.91014885303525</v>
      </c>
      <c r="G53" s="758">
        <f t="shared" ca="1" si="6"/>
        <v>7419.3436547473511</v>
      </c>
      <c r="H53" s="758">
        <f t="shared" si="6"/>
        <v>76243.998184594646</v>
      </c>
      <c r="I53" s="758">
        <f t="shared" si="6"/>
        <v>10236.460922048631</v>
      </c>
      <c r="J53" s="758">
        <f t="shared" si="6"/>
        <v>0</v>
      </c>
      <c r="K53" s="758">
        <f t="shared" si="6"/>
        <v>59.540924200991611</v>
      </c>
      <c r="L53" s="758">
        <f t="shared" si="6"/>
        <v>0</v>
      </c>
      <c r="M53" s="758">
        <f t="shared" ca="1" si="6"/>
        <v>0</v>
      </c>
      <c r="N53" s="758">
        <f t="shared" si="6"/>
        <v>0</v>
      </c>
      <c r="O53" s="758">
        <f t="shared" ca="1" si="6"/>
        <v>0</v>
      </c>
      <c r="P53" s="758">
        <f>P41+P46+P48</f>
        <v>0</v>
      </c>
      <c r="Q53" s="759">
        <f t="shared" si="6"/>
        <v>0</v>
      </c>
      <c r="R53" s="760">
        <f ca="1">R41+R46+R48</f>
        <v>211137.82810032956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0.2171171772792555</v>
      </c>
      <c r="D55" s="824">
        <f t="shared" ca="1" si="7"/>
        <v>0</v>
      </c>
      <c r="E55" s="824">
        <f t="shared" ca="1" si="7"/>
        <v>0.20200000000000004</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2954.0030263601921</v>
      </c>
      <c r="C66" s="780">
        <f>'lokale energieproductie'!B6</f>
        <v>2954.0030263601921</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2954.0030263601921</v>
      </c>
      <c r="C69" s="788">
        <f>SUM(C64:C68)</f>
        <v>2954.0030263601921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63282.548776283627</v>
      </c>
      <c r="C4" s="462">
        <f>huishoudens!C8</f>
        <v>0</v>
      </c>
      <c r="D4" s="462">
        <f>huishoudens!D8</f>
        <v>193543.30532852339</v>
      </c>
      <c r="E4" s="462">
        <f>huishoudens!E8</f>
        <v>2105.4234840073846</v>
      </c>
      <c r="F4" s="462">
        <f>huishoudens!F8</f>
        <v>5614.0230919727883</v>
      </c>
      <c r="G4" s="462">
        <f>huishoudens!G8</f>
        <v>0</v>
      </c>
      <c r="H4" s="462">
        <f>huishoudens!H8</f>
        <v>0</v>
      </c>
      <c r="I4" s="462">
        <f>huishoudens!I8</f>
        <v>0</v>
      </c>
      <c r="J4" s="462">
        <f>huishoudens!J8</f>
        <v>0</v>
      </c>
      <c r="K4" s="462">
        <f>huishoudens!K8</f>
        <v>0</v>
      </c>
      <c r="L4" s="462">
        <f>huishoudens!L8</f>
        <v>0</v>
      </c>
      <c r="M4" s="462">
        <f>huishoudens!M8</f>
        <v>0</v>
      </c>
      <c r="N4" s="462">
        <f>huishoudens!N8</f>
        <v>11538.20042899381</v>
      </c>
      <c r="O4" s="462">
        <f>huishoudens!O8</f>
        <v>109.43333333333334</v>
      </c>
      <c r="P4" s="463">
        <f>huishoudens!P8</f>
        <v>95.333333333333343</v>
      </c>
      <c r="Q4" s="464">
        <f>SUM(B4:P4)</f>
        <v>276288.26777644764</v>
      </c>
    </row>
    <row r="5" spans="1:17">
      <c r="A5" s="461" t="s">
        <v>156</v>
      </c>
      <c r="B5" s="462">
        <f ca="1">tertiair!B16</f>
        <v>49045.197118282675</v>
      </c>
      <c r="C5" s="462">
        <f ca="1">tertiair!C16</f>
        <v>0</v>
      </c>
      <c r="D5" s="462">
        <f ca="1">tertiair!D16</f>
        <v>60435.484604769343</v>
      </c>
      <c r="E5" s="462">
        <f>tertiair!E16</f>
        <v>375.27651574315553</v>
      </c>
      <c r="F5" s="462">
        <f ca="1">tertiair!F16</f>
        <v>9338.2211520270557</v>
      </c>
      <c r="G5" s="462">
        <f>tertiair!G16</f>
        <v>0</v>
      </c>
      <c r="H5" s="462">
        <f>tertiair!H16</f>
        <v>0</v>
      </c>
      <c r="I5" s="462">
        <f>tertiair!I16</f>
        <v>0</v>
      </c>
      <c r="J5" s="462">
        <f>tertiair!J16</f>
        <v>0</v>
      </c>
      <c r="K5" s="462">
        <f>tertiair!K16</f>
        <v>0</v>
      </c>
      <c r="L5" s="462">
        <f ca="1">tertiair!L16</f>
        <v>0</v>
      </c>
      <c r="M5" s="462">
        <f>tertiair!M16</f>
        <v>0</v>
      </c>
      <c r="N5" s="462">
        <f ca="1">tertiair!N16</f>
        <v>1953.9561611485767</v>
      </c>
      <c r="O5" s="462">
        <f>tertiair!O16</f>
        <v>1.5633333333333335</v>
      </c>
      <c r="P5" s="463">
        <f>tertiair!P16</f>
        <v>0</v>
      </c>
      <c r="Q5" s="461">
        <f t="shared" ref="Q5:Q13" ca="1" si="0">SUM(B5:P5)</f>
        <v>121149.69888530414</v>
      </c>
    </row>
    <row r="6" spans="1:17">
      <c r="A6" s="461" t="s">
        <v>194</v>
      </c>
      <c r="B6" s="462">
        <f>'openbare verlichting'!B8</f>
        <v>1874.432</v>
      </c>
      <c r="C6" s="462"/>
      <c r="D6" s="462"/>
      <c r="E6" s="462"/>
      <c r="F6" s="462"/>
      <c r="G6" s="462"/>
      <c r="H6" s="462"/>
      <c r="I6" s="462"/>
      <c r="J6" s="462"/>
      <c r="K6" s="462"/>
      <c r="L6" s="462"/>
      <c r="M6" s="462"/>
      <c r="N6" s="462"/>
      <c r="O6" s="462"/>
      <c r="P6" s="463"/>
      <c r="Q6" s="461">
        <f t="shared" si="0"/>
        <v>1874.432</v>
      </c>
    </row>
    <row r="7" spans="1:17">
      <c r="A7" s="461" t="s">
        <v>112</v>
      </c>
      <c r="B7" s="462">
        <f>landbouw!B8</f>
        <v>228.33677223527542</v>
      </c>
      <c r="C7" s="462">
        <f>landbouw!C8</f>
        <v>0</v>
      </c>
      <c r="D7" s="462">
        <f>landbouw!D8</f>
        <v>8952.4364574389419</v>
      </c>
      <c r="E7" s="462">
        <f>landbouw!E8</f>
        <v>2.1510853851122591</v>
      </c>
      <c r="F7" s="462">
        <f>landbouw!F8</f>
        <v>745.13866612330935</v>
      </c>
      <c r="G7" s="462">
        <f>landbouw!G8</f>
        <v>0</v>
      </c>
      <c r="H7" s="462">
        <f>landbouw!H8</f>
        <v>0</v>
      </c>
      <c r="I7" s="462">
        <f>landbouw!I8</f>
        <v>0</v>
      </c>
      <c r="J7" s="462">
        <f>landbouw!J8</f>
        <v>28.246369355350382</v>
      </c>
      <c r="K7" s="462">
        <f>landbouw!K8</f>
        <v>0</v>
      </c>
      <c r="L7" s="462">
        <f>landbouw!L8</f>
        <v>0</v>
      </c>
      <c r="M7" s="462">
        <f>landbouw!M8</f>
        <v>0</v>
      </c>
      <c r="N7" s="462">
        <f>landbouw!N8</f>
        <v>0</v>
      </c>
      <c r="O7" s="462">
        <f>landbouw!O8</f>
        <v>0</v>
      </c>
      <c r="P7" s="463">
        <f>landbouw!P8</f>
        <v>0</v>
      </c>
      <c r="Q7" s="461">
        <f t="shared" si="0"/>
        <v>9956.3093505379911</v>
      </c>
    </row>
    <row r="8" spans="1:17">
      <c r="A8" s="461" t="s">
        <v>685</v>
      </c>
      <c r="B8" s="462">
        <f>industrie!B18</f>
        <v>53697.041222550281</v>
      </c>
      <c r="C8" s="462">
        <f>industrie!C18</f>
        <v>0</v>
      </c>
      <c r="D8" s="462">
        <f>industrie!D18</f>
        <v>131757.72361113678</v>
      </c>
      <c r="E8" s="462">
        <f>industrie!E18</f>
        <v>486.2027232741417</v>
      </c>
      <c r="F8" s="462">
        <f>industrie!F18</f>
        <v>12090.421040241454</v>
      </c>
      <c r="G8" s="462">
        <f>industrie!G18</f>
        <v>0</v>
      </c>
      <c r="H8" s="462">
        <f>industrie!H18</f>
        <v>0</v>
      </c>
      <c r="I8" s="462">
        <f>industrie!I18</f>
        <v>0</v>
      </c>
      <c r="J8" s="462">
        <f>industrie!J18</f>
        <v>139.94833177739429</v>
      </c>
      <c r="K8" s="462">
        <f>industrie!K18</f>
        <v>0</v>
      </c>
      <c r="L8" s="462">
        <f>industrie!L18</f>
        <v>0</v>
      </c>
      <c r="M8" s="462">
        <f>industrie!M18</f>
        <v>0</v>
      </c>
      <c r="N8" s="462">
        <f>industrie!N18</f>
        <v>1591.4348727769257</v>
      </c>
      <c r="O8" s="462">
        <f>industrie!O18</f>
        <v>0</v>
      </c>
      <c r="P8" s="463">
        <f>industrie!P18</f>
        <v>0</v>
      </c>
      <c r="Q8" s="461">
        <f t="shared" si="0"/>
        <v>199762.77180175699</v>
      </c>
    </row>
    <row r="9" spans="1:17" s="467" customFormat="1">
      <c r="A9" s="465" t="s">
        <v>579</v>
      </c>
      <c r="B9" s="466">
        <f>transport!B14</f>
        <v>6.4836426974435808</v>
      </c>
      <c r="C9" s="466"/>
      <c r="D9" s="466">
        <f>transport!D14</f>
        <v>17.91236509976293</v>
      </c>
      <c r="E9" s="466">
        <f>transport!E14</f>
        <v>1184.7353935859553</v>
      </c>
      <c r="F9" s="466"/>
      <c r="G9" s="466">
        <f>transport!G14</f>
        <v>281555.69290114089</v>
      </c>
      <c r="H9" s="466">
        <f>transport!H14</f>
        <v>41110.28482750454</v>
      </c>
      <c r="I9" s="466"/>
      <c r="J9" s="466"/>
      <c r="K9" s="466"/>
      <c r="L9" s="466"/>
      <c r="M9" s="466">
        <f>transport!M14</f>
        <v>14418.329108257441</v>
      </c>
      <c r="N9" s="466"/>
      <c r="O9" s="466"/>
      <c r="P9" s="466"/>
      <c r="Q9" s="465">
        <f>SUM(B9:P9)</f>
        <v>338293.43823828601</v>
      </c>
    </row>
    <row r="10" spans="1:17">
      <c r="A10" s="461" t="s">
        <v>569</v>
      </c>
      <c r="B10" s="462">
        <f>transport!B54</f>
        <v>0</v>
      </c>
      <c r="C10" s="462"/>
      <c r="D10" s="462">
        <f>transport!D54</f>
        <v>0</v>
      </c>
      <c r="E10" s="462"/>
      <c r="F10" s="462"/>
      <c r="G10" s="462">
        <f>transport!G54</f>
        <v>4002.3527340450282</v>
      </c>
      <c r="H10" s="462"/>
      <c r="I10" s="462"/>
      <c r="J10" s="462"/>
      <c r="K10" s="462"/>
      <c r="L10" s="462"/>
      <c r="M10" s="462">
        <f>transport!M54</f>
        <v>175.74991084573267</v>
      </c>
      <c r="N10" s="462"/>
      <c r="O10" s="462"/>
      <c r="P10" s="463"/>
      <c r="Q10" s="461">
        <f t="shared" si="0"/>
        <v>4178.1026448907605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168134.0395320493</v>
      </c>
      <c r="C14" s="472">
        <f t="shared" ref="C14:Q14" ca="1" si="1">SUM(C4:C13)</f>
        <v>0</v>
      </c>
      <c r="D14" s="472">
        <f t="shared" ca="1" si="1"/>
        <v>394706.86236696818</v>
      </c>
      <c r="E14" s="472">
        <f t="shared" si="1"/>
        <v>4153.789201995749</v>
      </c>
      <c r="F14" s="472">
        <f t="shared" ca="1" si="1"/>
        <v>27787.803950364607</v>
      </c>
      <c r="G14" s="472">
        <f t="shared" si="1"/>
        <v>285558.0456351859</v>
      </c>
      <c r="H14" s="472">
        <f t="shared" si="1"/>
        <v>41110.28482750454</v>
      </c>
      <c r="I14" s="472">
        <f t="shared" si="1"/>
        <v>0</v>
      </c>
      <c r="J14" s="472">
        <f t="shared" si="1"/>
        <v>168.19470113274468</v>
      </c>
      <c r="K14" s="472">
        <f t="shared" si="1"/>
        <v>0</v>
      </c>
      <c r="L14" s="472">
        <f t="shared" ca="1" si="1"/>
        <v>0</v>
      </c>
      <c r="M14" s="472">
        <f t="shared" si="1"/>
        <v>14594.079019103174</v>
      </c>
      <c r="N14" s="472">
        <f t="shared" ca="1" si="1"/>
        <v>15083.591462919314</v>
      </c>
      <c r="O14" s="472">
        <f t="shared" si="1"/>
        <v>110.99666666666667</v>
      </c>
      <c r="P14" s="473">
        <f t="shared" si="1"/>
        <v>95.333333333333343</v>
      </c>
      <c r="Q14" s="473">
        <f t="shared" ca="1" si="1"/>
        <v>951503.02069722349</v>
      </c>
    </row>
    <row r="16" spans="1:17">
      <c r="A16" s="475" t="s">
        <v>574</v>
      </c>
      <c r="B16" s="829">
        <f ca="1">huishoudens!B10</f>
        <v>0.2171171772792555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13739.728361343507</v>
      </c>
      <c r="C21" s="462">
        <f t="shared" ref="C21:C28" ca="1" si="3">C4*$C$16</f>
        <v>0</v>
      </c>
      <c r="D21" s="462">
        <f t="shared" ref="D21:D30" si="4">D4*$D$16</f>
        <v>39095.747676361731</v>
      </c>
      <c r="E21" s="462">
        <f t="shared" ref="E21:E30" si="5">E4*$E$16</f>
        <v>477.93113086967634</v>
      </c>
      <c r="F21" s="462">
        <f t="shared" ref="F21:F28" si="6">F4*$F$16</f>
        <v>1498.9441655567346</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54812.35133413165</v>
      </c>
    </row>
    <row r="22" spans="1:17">
      <c r="A22" s="461" t="s">
        <v>156</v>
      </c>
      <c r="B22" s="462">
        <f t="shared" ca="1" si="2"/>
        <v>10648.554757426211</v>
      </c>
      <c r="C22" s="462">
        <f t="shared" ca="1" si="3"/>
        <v>0</v>
      </c>
      <c r="D22" s="462">
        <f t="shared" ca="1" si="4"/>
        <v>12207.967890163409</v>
      </c>
      <c r="E22" s="462">
        <f t="shared" si="5"/>
        <v>85.187769073696302</v>
      </c>
      <c r="F22" s="462">
        <f t="shared" ca="1" si="6"/>
        <v>2493.3050475912241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25435.015464254539</v>
      </c>
    </row>
    <row r="23" spans="1:17">
      <c r="A23" s="461" t="s">
        <v>194</v>
      </c>
      <c r="B23" s="462">
        <f t="shared" ca="1" si="2"/>
        <v>406.97138484190947</v>
      </c>
      <c r="C23" s="462"/>
      <c r="D23" s="462"/>
      <c r="E23" s="462"/>
      <c r="F23" s="462"/>
      <c r="G23" s="462"/>
      <c r="H23" s="462"/>
      <c r="I23" s="462"/>
      <c r="J23" s="462"/>
      <c r="K23" s="462"/>
      <c r="L23" s="462"/>
      <c r="M23" s="462"/>
      <c r="N23" s="462"/>
      <c r="O23" s="462"/>
      <c r="P23" s="463"/>
      <c r="Q23" s="461">
        <f t="shared" ca="1" si="17"/>
        <v>406.97138484190947</v>
      </c>
    </row>
    <row r="24" spans="1:17">
      <c r="A24" s="461" t="s">
        <v>112</v>
      </c>
      <c r="B24" s="462">
        <f t="shared" ca="1" si="2"/>
        <v>49.575835456779281</v>
      </c>
      <c r="C24" s="462">
        <f t="shared" ca="1" si="3"/>
        <v>0</v>
      </c>
      <c r="D24" s="462">
        <f t="shared" si="4"/>
        <v>1808.3921644026664</v>
      </c>
      <c r="E24" s="462">
        <f t="shared" si="5"/>
        <v>0.48829638242048284</v>
      </c>
      <c r="F24" s="462">
        <f t="shared" si="6"/>
        <v>198.9520238549236</v>
      </c>
      <c r="G24" s="462">
        <f t="shared" si="7"/>
        <v>0</v>
      </c>
      <c r="H24" s="462">
        <f t="shared" si="8"/>
        <v>0</v>
      </c>
      <c r="I24" s="462">
        <f t="shared" si="9"/>
        <v>0</v>
      </c>
      <c r="J24" s="462">
        <f t="shared" si="10"/>
        <v>9.9992147517940353</v>
      </c>
      <c r="K24" s="462">
        <f t="shared" si="11"/>
        <v>0</v>
      </c>
      <c r="L24" s="462">
        <f t="shared" si="12"/>
        <v>0</v>
      </c>
      <c r="M24" s="462">
        <f t="shared" si="13"/>
        <v>0</v>
      </c>
      <c r="N24" s="462">
        <f t="shared" si="14"/>
        <v>0</v>
      </c>
      <c r="O24" s="462">
        <f t="shared" si="15"/>
        <v>0</v>
      </c>
      <c r="P24" s="463">
        <f t="shared" si="16"/>
        <v>0</v>
      </c>
      <c r="Q24" s="461">
        <f t="shared" ca="1" si="17"/>
        <v>2067.407534848584</v>
      </c>
    </row>
    <row r="25" spans="1:17">
      <c r="A25" s="461" t="s">
        <v>685</v>
      </c>
      <c r="B25" s="462">
        <f t="shared" ca="1" si="2"/>
        <v>11658.55001848794</v>
      </c>
      <c r="C25" s="462">
        <f t="shared" ca="1" si="3"/>
        <v>0</v>
      </c>
      <c r="D25" s="462">
        <f t="shared" si="4"/>
        <v>26615.060169449633</v>
      </c>
      <c r="E25" s="462">
        <f t="shared" si="5"/>
        <v>110.36801818323018</v>
      </c>
      <c r="F25" s="462">
        <f t="shared" si="6"/>
        <v>3228.1424177444683</v>
      </c>
      <c r="G25" s="462">
        <f t="shared" si="7"/>
        <v>0</v>
      </c>
      <c r="H25" s="462">
        <f t="shared" si="8"/>
        <v>0</v>
      </c>
      <c r="I25" s="462">
        <f t="shared" si="9"/>
        <v>0</v>
      </c>
      <c r="J25" s="462">
        <f t="shared" si="10"/>
        <v>49.541709449197576</v>
      </c>
      <c r="K25" s="462">
        <f t="shared" si="11"/>
        <v>0</v>
      </c>
      <c r="L25" s="462">
        <f t="shared" si="12"/>
        <v>0</v>
      </c>
      <c r="M25" s="462">
        <f t="shared" si="13"/>
        <v>0</v>
      </c>
      <c r="N25" s="462">
        <f t="shared" si="14"/>
        <v>0</v>
      </c>
      <c r="O25" s="462">
        <f t="shared" si="15"/>
        <v>0</v>
      </c>
      <c r="P25" s="463">
        <f t="shared" si="16"/>
        <v>0</v>
      </c>
      <c r="Q25" s="461">
        <f t="shared" ca="1" si="17"/>
        <v>41661.662333314474</v>
      </c>
    </row>
    <row r="26" spans="1:17" s="467" customFormat="1">
      <c r="A26" s="465" t="s">
        <v>579</v>
      </c>
      <c r="B26" s="823">
        <f t="shared" ca="1" si="2"/>
        <v>1.4077102009562084</v>
      </c>
      <c r="C26" s="466"/>
      <c r="D26" s="466">
        <f t="shared" si="4"/>
        <v>3.6182977501521121</v>
      </c>
      <c r="E26" s="466">
        <f t="shared" si="5"/>
        <v>268.93493434401188</v>
      </c>
      <c r="F26" s="466"/>
      <c r="G26" s="466">
        <f t="shared" si="7"/>
        <v>75175.370004604629</v>
      </c>
      <c r="H26" s="466">
        <f t="shared" si="8"/>
        <v>10236.460922048631</v>
      </c>
      <c r="I26" s="466"/>
      <c r="J26" s="466"/>
      <c r="K26" s="466"/>
      <c r="L26" s="466"/>
      <c r="M26" s="466">
        <f t="shared" si="13"/>
        <v>0</v>
      </c>
      <c r="N26" s="466"/>
      <c r="O26" s="466"/>
      <c r="P26" s="477"/>
      <c r="Q26" s="465">
        <f t="shared" ca="1" si="17"/>
        <v>85685.791868948378</v>
      </c>
    </row>
    <row r="27" spans="1:17">
      <c r="A27" s="461" t="s">
        <v>569</v>
      </c>
      <c r="B27" s="462">
        <f t="shared" ca="1" si="2"/>
        <v>0</v>
      </c>
      <c r="C27" s="462"/>
      <c r="D27" s="466">
        <f t="shared" si="4"/>
        <v>0</v>
      </c>
      <c r="E27" s="462"/>
      <c r="F27" s="462"/>
      <c r="G27" s="462">
        <f t="shared" si="7"/>
        <v>1068.6281799900225</v>
      </c>
      <c r="H27" s="462"/>
      <c r="I27" s="462"/>
      <c r="J27" s="462"/>
      <c r="K27" s="462"/>
      <c r="L27" s="462"/>
      <c r="M27" s="462">
        <f t="shared" si="13"/>
        <v>0</v>
      </c>
      <c r="N27" s="462"/>
      <c r="O27" s="462"/>
      <c r="P27" s="463"/>
      <c r="Q27" s="461">
        <f t="shared" ca="1" si="17"/>
        <v>1068.6281799900225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36504.788067757298</v>
      </c>
      <c r="C31" s="472">
        <f t="shared" ca="1" si="18"/>
        <v>0</v>
      </c>
      <c r="D31" s="472">
        <f t="shared" ca="1" si="18"/>
        <v>79730.786198127578</v>
      </c>
      <c r="E31" s="472">
        <f t="shared" si="18"/>
        <v>942.91014885303525</v>
      </c>
      <c r="F31" s="472">
        <f t="shared" ca="1" si="18"/>
        <v>7419.3436547473502</v>
      </c>
      <c r="G31" s="472">
        <f t="shared" si="18"/>
        <v>76243.998184594646</v>
      </c>
      <c r="H31" s="472">
        <f t="shared" si="18"/>
        <v>10236.460922048631</v>
      </c>
      <c r="I31" s="472">
        <f t="shared" si="18"/>
        <v>0</v>
      </c>
      <c r="J31" s="472">
        <f t="shared" si="18"/>
        <v>59.540924200991611</v>
      </c>
      <c r="K31" s="472">
        <f t="shared" si="18"/>
        <v>0</v>
      </c>
      <c r="L31" s="472">
        <f t="shared" ca="1" si="18"/>
        <v>0</v>
      </c>
      <c r="M31" s="472">
        <f t="shared" si="18"/>
        <v>0</v>
      </c>
      <c r="N31" s="472">
        <f t="shared" ca="1" si="18"/>
        <v>0</v>
      </c>
      <c r="O31" s="472">
        <f t="shared" si="18"/>
        <v>0</v>
      </c>
      <c r="P31" s="473">
        <f t="shared" si="18"/>
        <v>0</v>
      </c>
      <c r="Q31" s="473">
        <f t="shared" ca="1" si="18"/>
        <v>211137.82810032953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0.2171171772792555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0.2171171772792555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0.2171171772792555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11040</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14107</v>
      </c>
      <c r="C9" s="338">
        <v>14464</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191</v>
      </c>
    </row>
    <row r="15" spans="1:6">
      <c r="A15" s="1260" t="s">
        <v>184</v>
      </c>
      <c r="B15" s="335">
        <v>1</v>
      </c>
    </row>
    <row r="16" spans="1:6">
      <c r="A16" s="1260" t="s">
        <v>6</v>
      </c>
      <c r="B16" s="335">
        <v>23</v>
      </c>
    </row>
    <row r="17" spans="1:6">
      <c r="A17" s="1260" t="s">
        <v>7</v>
      </c>
      <c r="B17" s="335">
        <v>46</v>
      </c>
    </row>
    <row r="18" spans="1:6">
      <c r="A18" s="1260" t="s">
        <v>8</v>
      </c>
      <c r="B18" s="335">
        <v>35</v>
      </c>
    </row>
    <row r="19" spans="1:6">
      <c r="A19" s="1260" t="s">
        <v>9</v>
      </c>
      <c r="B19" s="335">
        <v>27</v>
      </c>
    </row>
    <row r="20" spans="1:6">
      <c r="A20" s="1260" t="s">
        <v>10</v>
      </c>
      <c r="B20" s="335">
        <v>20</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7</v>
      </c>
    </row>
    <row r="27" spans="1:6">
      <c r="A27" s="1260" t="s">
        <v>17</v>
      </c>
      <c r="B27" s="335">
        <v>0</v>
      </c>
    </row>
    <row r="28" spans="1:6" s="341" customFormat="1">
      <c r="A28" s="1261" t="s">
        <v>18</v>
      </c>
      <c r="B28" s="1261">
        <v>30</v>
      </c>
    </row>
    <row r="29" spans="1:6">
      <c r="A29" s="1261" t="s">
        <v>910</v>
      </c>
      <c r="B29" s="1261">
        <v>30</v>
      </c>
      <c r="C29" s="341"/>
      <c r="D29" s="341"/>
      <c r="E29" s="341"/>
      <c r="F29" s="341"/>
    </row>
    <row r="30" spans="1:6">
      <c r="A30" s="1256" t="s">
        <v>911</v>
      </c>
      <c r="B30" s="1256">
        <v>5</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1</v>
      </c>
      <c r="D38" s="335">
        <v>860597.83554484195</v>
      </c>
      <c r="E38" s="335">
        <v>9</v>
      </c>
      <c r="F38" s="335">
        <v>1352997.3973153899</v>
      </c>
    </row>
    <row r="39" spans="1:6">
      <c r="A39" s="1260" t="s">
        <v>30</v>
      </c>
      <c r="B39" s="1260" t="s">
        <v>31</v>
      </c>
      <c r="C39" s="335">
        <v>11226</v>
      </c>
      <c r="D39" s="335">
        <v>214571291.93849599</v>
      </c>
      <c r="E39" s="335">
        <v>14215</v>
      </c>
      <c r="F39" s="335">
        <v>61111984.106191099</v>
      </c>
    </row>
    <row r="40" spans="1:6">
      <c r="A40" s="1260" t="s">
        <v>30</v>
      </c>
      <c r="B40" s="1260" t="s">
        <v>29</v>
      </c>
      <c r="C40" s="335">
        <v>0</v>
      </c>
      <c r="D40" s="335">
        <v>0</v>
      </c>
      <c r="E40" s="335">
        <v>0</v>
      </c>
      <c r="F40" s="335">
        <v>0</v>
      </c>
    </row>
    <row r="41" spans="1:6">
      <c r="A41" s="1260" t="s">
        <v>32</v>
      </c>
      <c r="B41" s="1260" t="s">
        <v>33</v>
      </c>
      <c r="C41" s="335">
        <v>134</v>
      </c>
      <c r="D41" s="335">
        <v>13082319.961929901</v>
      </c>
      <c r="E41" s="335">
        <v>214</v>
      </c>
      <c r="F41" s="335">
        <v>5773849.0128567703</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6</v>
      </c>
      <c r="D44" s="335">
        <v>276215.87687271897</v>
      </c>
      <c r="E44" s="335">
        <v>28</v>
      </c>
      <c r="F44" s="335">
        <v>806470.46835169406</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11</v>
      </c>
      <c r="D47" s="335">
        <v>320678.94770385401</v>
      </c>
      <c r="E47" s="335">
        <v>12</v>
      </c>
      <c r="F47" s="335">
        <v>156584.355767264</v>
      </c>
    </row>
    <row r="48" spans="1:6">
      <c r="A48" s="1260" t="s">
        <v>32</v>
      </c>
      <c r="B48" s="1260" t="s">
        <v>29</v>
      </c>
      <c r="C48" s="335">
        <v>43</v>
      </c>
      <c r="D48" s="335">
        <v>33684112.865314499</v>
      </c>
      <c r="E48" s="335">
        <v>52</v>
      </c>
      <c r="F48" s="335">
        <v>25073954.181629099</v>
      </c>
    </row>
    <row r="49" spans="1:6">
      <c r="A49" s="1260" t="s">
        <v>32</v>
      </c>
      <c r="B49" s="1260" t="s">
        <v>40</v>
      </c>
      <c r="C49" s="335">
        <v>3</v>
      </c>
      <c r="D49" s="335">
        <v>81193.481890614101</v>
      </c>
      <c r="E49" s="335">
        <v>4</v>
      </c>
      <c r="F49" s="335">
        <v>44905.839522554801</v>
      </c>
    </row>
    <row r="50" spans="1:6">
      <c r="A50" s="1260" t="s">
        <v>32</v>
      </c>
      <c r="B50" s="1260" t="s">
        <v>41</v>
      </c>
      <c r="C50" s="335">
        <v>23</v>
      </c>
      <c r="D50" s="335">
        <v>98628343.1801873</v>
      </c>
      <c r="E50" s="335">
        <v>31</v>
      </c>
      <c r="F50" s="335">
        <v>21841277.364422899</v>
      </c>
    </row>
    <row r="51" spans="1:6">
      <c r="A51" s="1260" t="s">
        <v>42</v>
      </c>
      <c r="B51" s="1260" t="s">
        <v>43</v>
      </c>
      <c r="C51" s="335">
        <v>3</v>
      </c>
      <c r="D51" s="335">
        <v>187877.555316018</v>
      </c>
      <c r="E51" s="335">
        <v>6</v>
      </c>
      <c r="F51" s="335">
        <v>184912.09996417101</v>
      </c>
    </row>
    <row r="52" spans="1:6">
      <c r="A52" s="1260" t="s">
        <v>42</v>
      </c>
      <c r="B52" s="1260" t="s">
        <v>29</v>
      </c>
      <c r="C52" s="335">
        <v>6</v>
      </c>
      <c r="D52" s="335">
        <v>529919.81187383702</v>
      </c>
      <c r="E52" s="335">
        <v>5</v>
      </c>
      <c r="F52" s="335">
        <v>43424.672271104399</v>
      </c>
    </row>
    <row r="53" spans="1:6">
      <c r="A53" s="1260" t="s">
        <v>44</v>
      </c>
      <c r="B53" s="1260" t="s">
        <v>45</v>
      </c>
      <c r="C53" s="335">
        <v>194</v>
      </c>
      <c r="D53" s="335">
        <v>9207298.4836293701</v>
      </c>
      <c r="E53" s="335">
        <v>374</v>
      </c>
      <c r="F53" s="335">
        <v>2428360.5128490902</v>
      </c>
    </row>
    <row r="54" spans="1:6">
      <c r="A54" s="1260" t="s">
        <v>46</v>
      </c>
      <c r="B54" s="1260" t="s">
        <v>47</v>
      </c>
      <c r="C54" s="335">
        <v>0</v>
      </c>
      <c r="D54" s="335">
        <v>0</v>
      </c>
      <c r="E54" s="335">
        <v>1</v>
      </c>
      <c r="F54" s="335">
        <v>1874432</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55</v>
      </c>
      <c r="D57" s="335">
        <v>2792394.9061115799</v>
      </c>
      <c r="E57" s="335">
        <v>98</v>
      </c>
      <c r="F57" s="335">
        <v>2674768.1508718301</v>
      </c>
    </row>
    <row r="58" spans="1:6">
      <c r="A58" s="1260" t="s">
        <v>49</v>
      </c>
      <c r="B58" s="1260" t="s">
        <v>51</v>
      </c>
      <c r="C58" s="335">
        <v>60</v>
      </c>
      <c r="D58" s="335">
        <v>2824628.6473205602</v>
      </c>
      <c r="E58" s="335">
        <v>79</v>
      </c>
      <c r="F58" s="335">
        <v>812616.49875094905</v>
      </c>
    </row>
    <row r="59" spans="1:6">
      <c r="A59" s="1260" t="s">
        <v>49</v>
      </c>
      <c r="B59" s="1260" t="s">
        <v>52</v>
      </c>
      <c r="C59" s="335">
        <v>254</v>
      </c>
      <c r="D59" s="335">
        <v>15118060.1542724</v>
      </c>
      <c r="E59" s="335">
        <v>411</v>
      </c>
      <c r="F59" s="335">
        <v>21642886.249995001</v>
      </c>
    </row>
    <row r="60" spans="1:6">
      <c r="A60" s="1260" t="s">
        <v>49</v>
      </c>
      <c r="B60" s="1260" t="s">
        <v>53</v>
      </c>
      <c r="C60" s="335">
        <v>95</v>
      </c>
      <c r="D60" s="335">
        <v>5079411.4780087397</v>
      </c>
      <c r="E60" s="335">
        <v>118</v>
      </c>
      <c r="F60" s="335">
        <v>3327908.1339794002</v>
      </c>
    </row>
    <row r="61" spans="1:6">
      <c r="A61" s="1260" t="s">
        <v>49</v>
      </c>
      <c r="B61" s="1260" t="s">
        <v>54</v>
      </c>
      <c r="C61" s="335">
        <v>439</v>
      </c>
      <c r="D61" s="335">
        <v>28624231.790003501</v>
      </c>
      <c r="E61" s="335">
        <v>833</v>
      </c>
      <c r="F61" s="335">
        <v>15011420.229691001</v>
      </c>
    </row>
    <row r="62" spans="1:6">
      <c r="A62" s="1260" t="s">
        <v>49</v>
      </c>
      <c r="B62" s="1260" t="s">
        <v>55</v>
      </c>
      <c r="C62" s="335">
        <v>20</v>
      </c>
      <c r="D62" s="335">
        <v>5183572.4126705099</v>
      </c>
      <c r="E62" s="335">
        <v>24</v>
      </c>
      <c r="F62" s="335">
        <v>1179822.3253894299</v>
      </c>
    </row>
    <row r="63" spans="1:6">
      <c r="A63" s="1260" t="s">
        <v>49</v>
      </c>
      <c r="B63" s="1260" t="s">
        <v>29</v>
      </c>
      <c r="C63" s="335">
        <v>101</v>
      </c>
      <c r="D63" s="335">
        <v>7379346.5149046704</v>
      </c>
      <c r="E63" s="335">
        <v>99</v>
      </c>
      <c r="F63" s="335">
        <v>4395775.5296050599</v>
      </c>
    </row>
    <row r="64" spans="1:6">
      <c r="A64" s="1260" t="s">
        <v>56</v>
      </c>
      <c r="B64" s="1260" t="s">
        <v>57</v>
      </c>
      <c r="C64" s="335">
        <v>0</v>
      </c>
      <c r="D64" s="335">
        <v>0</v>
      </c>
      <c r="E64" s="335">
        <v>0</v>
      </c>
      <c r="F64" s="335">
        <v>0</v>
      </c>
    </row>
    <row r="65" spans="1:6">
      <c r="A65" s="1260" t="s">
        <v>56</v>
      </c>
      <c r="B65" s="1260" t="s">
        <v>29</v>
      </c>
      <c r="C65" s="335">
        <v>4</v>
      </c>
      <c r="D65" s="335">
        <v>130713.080155494</v>
      </c>
      <c r="E65" s="335">
        <v>3</v>
      </c>
      <c r="F65" s="335">
        <v>7110.8406155654002</v>
      </c>
    </row>
    <row r="66" spans="1:6">
      <c r="A66" s="1260" t="s">
        <v>56</v>
      </c>
      <c r="B66" s="1260" t="s">
        <v>58</v>
      </c>
      <c r="C66" s="335">
        <v>4</v>
      </c>
      <c r="D66" s="335">
        <v>232118.84208605601</v>
      </c>
      <c r="E66" s="335">
        <v>12</v>
      </c>
      <c r="F66" s="335">
        <v>176081.57750844801</v>
      </c>
    </row>
    <row r="67" spans="1:6">
      <c r="A67" s="1261" t="s">
        <v>56</v>
      </c>
      <c r="B67" s="1261" t="s">
        <v>59</v>
      </c>
      <c r="C67" s="335">
        <v>0</v>
      </c>
      <c r="D67" s="335">
        <v>0</v>
      </c>
      <c r="E67" s="335">
        <v>0</v>
      </c>
      <c r="F67" s="335">
        <v>0</v>
      </c>
    </row>
    <row r="68" spans="1:6">
      <c r="A68" s="1256" t="s">
        <v>56</v>
      </c>
      <c r="B68" s="1256" t="s">
        <v>60</v>
      </c>
      <c r="C68" s="335">
        <v>0</v>
      </c>
      <c r="D68" s="335">
        <v>0</v>
      </c>
      <c r="E68" s="335">
        <v>6</v>
      </c>
      <c r="F68" s="335">
        <v>41171.200139057502</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85291502</v>
      </c>
      <c r="E73" s="335">
        <v>86594704.001701012</v>
      </c>
    </row>
    <row r="74" spans="1:6">
      <c r="A74" s="1260" t="s">
        <v>64</v>
      </c>
      <c r="B74" s="1260" t="s">
        <v>772</v>
      </c>
      <c r="C74" s="1271" t="s">
        <v>766</v>
      </c>
      <c r="D74" s="335">
        <v>3173293.3627785733</v>
      </c>
      <c r="E74" s="335">
        <v>3211945.8598309797</v>
      </c>
    </row>
    <row r="75" spans="1:6">
      <c r="A75" s="1260" t="s">
        <v>65</v>
      </c>
      <c r="B75" s="1260" t="s">
        <v>771</v>
      </c>
      <c r="C75" s="1271" t="s">
        <v>767</v>
      </c>
      <c r="D75" s="335">
        <v>43045525</v>
      </c>
      <c r="E75" s="335">
        <v>44033672.237008922</v>
      </c>
    </row>
    <row r="76" spans="1:6">
      <c r="A76" s="1260" t="s">
        <v>65</v>
      </c>
      <c r="B76" s="1260" t="s">
        <v>772</v>
      </c>
      <c r="C76" s="1271" t="s">
        <v>768</v>
      </c>
      <c r="D76" s="335">
        <v>1097983.3627785735</v>
      </c>
      <c r="E76" s="335">
        <v>1182522.6348281824</v>
      </c>
    </row>
    <row r="77" spans="1:6">
      <c r="A77" s="1260" t="s">
        <v>66</v>
      </c>
      <c r="B77" s="1260" t="s">
        <v>771</v>
      </c>
      <c r="C77" s="1271" t="s">
        <v>769</v>
      </c>
      <c r="D77" s="335">
        <v>179820476</v>
      </c>
      <c r="E77" s="335">
        <v>216426922.43343356</v>
      </c>
    </row>
    <row r="78" spans="1:6">
      <c r="A78" s="1256" t="s">
        <v>66</v>
      </c>
      <c r="B78" s="1256" t="s">
        <v>772</v>
      </c>
      <c r="C78" s="1256" t="s">
        <v>770</v>
      </c>
      <c r="D78" s="1256">
        <v>43498162</v>
      </c>
      <c r="E78" s="1256">
        <v>44143305.118506521</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1099273.2744428529</v>
      </c>
      <c r="C83" s="335">
        <v>1034791.5137245726</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2170.5646700925258</v>
      </c>
    </row>
    <row r="92" spans="1:6">
      <c r="A92" s="1256" t="s">
        <v>69</v>
      </c>
      <c r="B92" s="338">
        <v>783.43835626766611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8882</v>
      </c>
    </row>
    <row r="98" spans="1:6">
      <c r="A98" s="1260" t="s">
        <v>72</v>
      </c>
      <c r="B98" s="335">
        <v>10</v>
      </c>
    </row>
    <row r="99" spans="1:6">
      <c r="A99" s="1260" t="s">
        <v>73</v>
      </c>
      <c r="B99" s="335">
        <v>48</v>
      </c>
    </row>
    <row r="100" spans="1:6">
      <c r="A100" s="1260" t="s">
        <v>74</v>
      </c>
      <c r="B100" s="335">
        <v>1173</v>
      </c>
    </row>
    <row r="101" spans="1:6">
      <c r="A101" s="1260" t="s">
        <v>75</v>
      </c>
      <c r="B101" s="335">
        <v>81</v>
      </c>
    </row>
    <row r="102" spans="1:6">
      <c r="A102" s="1260" t="s">
        <v>76</v>
      </c>
      <c r="B102" s="335">
        <v>212</v>
      </c>
    </row>
    <row r="103" spans="1:6">
      <c r="A103" s="1260" t="s">
        <v>77</v>
      </c>
      <c r="B103" s="335">
        <v>170</v>
      </c>
    </row>
    <row r="104" spans="1:6">
      <c r="A104" s="1260" t="s">
        <v>78</v>
      </c>
      <c r="B104" s="335">
        <v>2394</v>
      </c>
    </row>
    <row r="105" spans="1:6">
      <c r="A105" s="1256" t="s">
        <v>79</v>
      </c>
      <c r="B105" s="1256">
        <v>15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2</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v>
      </c>
      <c r="C123" s="335">
        <v>8</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62</v>
      </c>
    </row>
    <row r="130" spans="1:6">
      <c r="A130" s="1260" t="s">
        <v>295</v>
      </c>
      <c r="B130" s="335">
        <v>1</v>
      </c>
    </row>
    <row r="131" spans="1:6">
      <c r="A131" s="1260" t="s">
        <v>296</v>
      </c>
      <c r="B131" s="335">
        <v>0</v>
      </c>
    </row>
    <row r="132" spans="1:6">
      <c r="A132" s="1256" t="s">
        <v>297</v>
      </c>
      <c r="B132" s="338">
        <v>4</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168134.03953204933</v>
      </c>
      <c r="C3" s="44" t="s">
        <v>170</v>
      </c>
      <c r="D3" s="44"/>
      <c r="E3" s="157"/>
      <c r="F3" s="44"/>
      <c r="G3" s="44"/>
      <c r="H3" s="44"/>
      <c r="I3" s="44"/>
      <c r="J3" s="44"/>
      <c r="K3" s="97"/>
    </row>
    <row r="4" spans="1:11">
      <c r="A4" s="365" t="s">
        <v>171</v>
      </c>
      <c r="B4" s="50">
        <f>IF(ISERROR('SEAP template'!B69),0,'SEAP template'!B69)</f>
        <v>2954.0030263601921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0.2171171772792555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1874.432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1874.432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0.2171171772792555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406.97138484190947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61111.984106191099</v>
      </c>
      <c r="C5" s="18">
        <f>IF(ISERROR('Eigen informatie GS &amp; warmtenet'!B57),0,'Eigen informatie GS &amp; warmtenet'!B57)</f>
        <v>0</v>
      </c>
      <c r="D5" s="31">
        <f>(SUM(HH_hh_gas_kWh,HH_rest_gas_kWh)/1000)*0.902</f>
        <v>193543.30532852339</v>
      </c>
      <c r="E5" s="18">
        <f>B46*B57</f>
        <v>2105.4234840073846</v>
      </c>
      <c r="F5" s="18">
        <f>B51*B62</f>
        <v>5614.0230919727883</v>
      </c>
      <c r="G5" s="19"/>
      <c r="H5" s="18"/>
      <c r="I5" s="18"/>
      <c r="J5" s="18">
        <f>B50*B61+C50*C61</f>
        <v>0</v>
      </c>
      <c r="K5" s="18"/>
      <c r="L5" s="18"/>
      <c r="M5" s="18"/>
      <c r="N5" s="18">
        <f>B48*B59+C48*C59</f>
        <v>11538.20042899381</v>
      </c>
      <c r="O5" s="18">
        <f>B69*B70*B71</f>
        <v>109.43333333333334</v>
      </c>
      <c r="P5" s="18">
        <f>B77*B78*B79/1000-B77*B78*B79/1000/B80</f>
        <v>95.333333333333343</v>
      </c>
    </row>
    <row r="6" spans="1:16">
      <c r="A6" s="17" t="s">
        <v>639</v>
      </c>
      <c r="B6" s="831">
        <f>kWh_PV_kleiner_dan_10kW</f>
        <v>2170.5646700925258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63282.548776283627</v>
      </c>
      <c r="C8" s="22">
        <f>C5</f>
        <v>0</v>
      </c>
      <c r="D8" s="22">
        <f>D5</f>
        <v>193543.30532852339</v>
      </c>
      <c r="E8" s="22">
        <f>E5</f>
        <v>2105.4234840073846</v>
      </c>
      <c r="F8" s="22">
        <f>F5</f>
        <v>5614.0230919727883</v>
      </c>
      <c r="G8" s="22"/>
      <c r="H8" s="22"/>
      <c r="I8" s="22"/>
      <c r="J8" s="22">
        <f>J5</f>
        <v>0</v>
      </c>
      <c r="K8" s="22"/>
      <c r="L8" s="22">
        <f>L5</f>
        <v>0</v>
      </c>
      <c r="M8" s="22">
        <f>M5</f>
        <v>0</v>
      </c>
      <c r="N8" s="22">
        <f>N5</f>
        <v>11538.20042899381</v>
      </c>
      <c r="O8" s="22">
        <f>O5</f>
        <v>109.43333333333334</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0.2171171772792555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13739.728361343507</v>
      </c>
      <c r="C12" s="24">
        <f ca="1">C10*C8</f>
        <v>0</v>
      </c>
      <c r="D12" s="24">
        <f>D8*D10</f>
        <v>39095.747676361731</v>
      </c>
      <c r="E12" s="24">
        <f>E10*E8</f>
        <v>477.93113086967634</v>
      </c>
      <c r="F12" s="24">
        <f>F10*F8</f>
        <v>1498.9441655567346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8882</v>
      </c>
      <c r="C18" s="169" t="s">
        <v>111</v>
      </c>
      <c r="D18" s="231"/>
      <c r="E18" s="16"/>
    </row>
    <row r="19" spans="1:7">
      <c r="A19" s="174" t="s">
        <v>72</v>
      </c>
      <c r="B19" s="38">
        <f>aantalw2001_ander</f>
        <v>10</v>
      </c>
      <c r="C19" s="169" t="s">
        <v>111</v>
      </c>
      <c r="D19" s="232"/>
      <c r="E19" s="16"/>
    </row>
    <row r="20" spans="1:7">
      <c r="A20" s="174" t="s">
        <v>73</v>
      </c>
      <c r="B20" s="38">
        <f>aantalw2001_propaan</f>
        <v>48</v>
      </c>
      <c r="C20" s="170">
        <f>IF(ISERROR(B20/SUM($B$20,$B$21,$B$22)*100),0,B20/SUM($B$20,$B$21,$B$22)*100)</f>
        <v>3.6866359447004609</v>
      </c>
      <c r="D20" s="232"/>
      <c r="E20" s="16"/>
    </row>
    <row r="21" spans="1:7">
      <c r="A21" s="174" t="s">
        <v>74</v>
      </c>
      <c r="B21" s="38">
        <f>aantalw2001_elektriciteit</f>
        <v>1173</v>
      </c>
      <c r="C21" s="170">
        <f>IF(ISERROR(B21/SUM($B$20,$B$21,$B$22)*100),0,B21/SUM($B$20,$B$21,$B$22)*100)</f>
        <v>90.092165898617509</v>
      </c>
      <c r="D21" s="232"/>
      <c r="E21" s="16"/>
    </row>
    <row r="22" spans="1:7">
      <c r="A22" s="174" t="s">
        <v>75</v>
      </c>
      <c r="B22" s="38">
        <f>aantalw2001_hout</f>
        <v>81</v>
      </c>
      <c r="C22" s="170">
        <f>IF(ISERROR(B22/SUM($B$20,$B$21,$B$22)*100),0,B22/SUM($B$20,$B$21,$B$22)*100)</f>
        <v>6.2211981566820276</v>
      </c>
      <c r="D22" s="232"/>
      <c r="E22" s="16"/>
    </row>
    <row r="23" spans="1:7">
      <c r="A23" s="174" t="s">
        <v>76</v>
      </c>
      <c r="B23" s="38">
        <f>aantalw2001_niet_gespec</f>
        <v>212</v>
      </c>
      <c r="C23" s="169" t="s">
        <v>111</v>
      </c>
      <c r="D23" s="231"/>
      <c r="E23" s="16"/>
    </row>
    <row r="24" spans="1:7">
      <c r="A24" s="174" t="s">
        <v>77</v>
      </c>
      <c r="B24" s="38">
        <f>aantalw2001_steenkool</f>
        <v>170</v>
      </c>
      <c r="C24" s="169" t="s">
        <v>111</v>
      </c>
      <c r="D24" s="232"/>
      <c r="E24" s="16"/>
    </row>
    <row r="25" spans="1:7">
      <c r="A25" s="174" t="s">
        <v>78</v>
      </c>
      <c r="B25" s="38">
        <f>aantalw2001_stookolie</f>
        <v>2394</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14107</v>
      </c>
      <c r="C28" s="37"/>
      <c r="D28" s="231"/>
    </row>
    <row r="29" spans="1:7" s="16" customFormat="1">
      <c r="A29" s="233" t="s">
        <v>666</v>
      </c>
      <c r="B29" s="38">
        <f>SUM(HH_hh_gas_aantal,HH_rest_gas_aantal)</f>
        <v>11226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11226</v>
      </c>
      <c r="C32" s="170">
        <f>IF(ISERROR(B32/SUM($B$32,$B$34,$B$35,$B$36,$B$38,$B$39)*100),0,B32/SUM($B$32,$B$34,$B$35,$B$36,$B$38,$B$39)*100)</f>
        <v>79.605729683732818</v>
      </c>
      <c r="D32" s="236"/>
      <c r="G32" s="16"/>
    </row>
    <row r="33" spans="1:7">
      <c r="A33" s="174" t="s">
        <v>72</v>
      </c>
      <c r="B33" s="35" t="s">
        <v>111</v>
      </c>
      <c r="C33" s="170"/>
      <c r="D33" s="236"/>
      <c r="G33" s="16"/>
    </row>
    <row r="34" spans="1:7">
      <c r="A34" s="174" t="s">
        <v>73</v>
      </c>
      <c r="B34" s="34">
        <f>IF((($B$28-$B$32-$B$39-$B$77-$B$38)*C20/100)&lt;0,0,($B$28-$B$32-$B$39-$B$77-$B$38)*C20/100)</f>
        <v>95.542857142857144</v>
      </c>
      <c r="C34" s="170">
        <f>IF(ISERROR(B34/SUM($B$32,$B$34,$B$35,$B$36,$B$38,$B$39)*100),0,B34/SUM($B$32,$B$34,$B$35,$B$36,$B$38,$B$39)*100)</f>
        <v>0.67751281479830638</v>
      </c>
      <c r="D34" s="236"/>
      <c r="G34" s="16"/>
    </row>
    <row r="35" spans="1:7">
      <c r="A35" s="174" t="s">
        <v>74</v>
      </c>
      <c r="B35" s="34">
        <f>IF((($B$28-$B$32-$B$39-$B$77-$B$38)*C21/100)&lt;0,0,($B$28-$B$32-$B$39-$B$77-$B$38)*C21/100)</f>
        <v>2334.8285714285712</v>
      </c>
      <c r="C35" s="170">
        <f>IF(ISERROR(B35/SUM($B$32,$B$34,$B$35,$B$36,$B$38,$B$39)*100),0,B35/SUM($B$32,$B$34,$B$35,$B$36,$B$38,$B$39)*100)</f>
        <v>16.556719411633608</v>
      </c>
      <c r="D35" s="236"/>
      <c r="G35" s="16"/>
    </row>
    <row r="36" spans="1:7">
      <c r="A36" s="174" t="s">
        <v>75</v>
      </c>
      <c r="B36" s="34">
        <f>IF((($B$28-$B$32-$B$39-$B$77-$B$38)*C22/100)&lt;0,0,($B$28-$B$32-$B$39-$B$77-$B$38)*C22/100)</f>
        <v>161.2285714285714</v>
      </c>
      <c r="C36" s="170">
        <f>IF(ISERROR(B36/SUM($B$32,$B$34,$B$35,$B$36,$B$38,$B$39)*100),0,B36/SUM($B$32,$B$34,$B$35,$B$36,$B$38,$B$39)*100)</f>
        <v>1.1433028749721417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284.40000000000009</v>
      </c>
      <c r="C39" s="170">
        <f>IF(ISERROR(B39/SUM($B$32,$B$34,$B$35,$B$36,$B$38,$B$39)*100),0,B39/SUM($B$32,$B$34,$B$35,$B$36,$B$38,$B$39)*100)</f>
        <v>2.0167352148631408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11226</v>
      </c>
      <c r="C44" s="35" t="s">
        <v>111</v>
      </c>
      <c r="D44" s="177"/>
    </row>
    <row r="45" spans="1:7">
      <c r="A45" s="174" t="s">
        <v>72</v>
      </c>
      <c r="B45" s="34" t="str">
        <f t="shared" si="0"/>
        <v>-</v>
      </c>
      <c r="C45" s="35" t="s">
        <v>111</v>
      </c>
      <c r="D45" s="177"/>
    </row>
    <row r="46" spans="1:7">
      <c r="A46" s="174" t="s">
        <v>73</v>
      </c>
      <c r="B46" s="34">
        <f t="shared" si="0"/>
        <v>95.542857142857144</v>
      </c>
      <c r="C46" s="35" t="s">
        <v>111</v>
      </c>
      <c r="D46" s="177"/>
    </row>
    <row r="47" spans="1:7">
      <c r="A47" s="174" t="s">
        <v>74</v>
      </c>
      <c r="B47" s="34">
        <f t="shared" si="0"/>
        <v>2334.8285714285712</v>
      </c>
      <c r="C47" s="35" t="s">
        <v>111</v>
      </c>
      <c r="D47" s="177"/>
    </row>
    <row r="48" spans="1:7">
      <c r="A48" s="174" t="s">
        <v>75</v>
      </c>
      <c r="B48" s="34">
        <f t="shared" si="0"/>
        <v>161.2285714285714</v>
      </c>
      <c r="C48" s="34">
        <f>B48*10</f>
        <v>1612.285714285714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284.40000000000009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49045.197118282675</v>
      </c>
      <c r="C5" s="18">
        <f>IF(ISERROR('Eigen informatie GS &amp; warmtenet'!B58),0,'Eigen informatie GS &amp; warmtenet'!B58)</f>
        <v>0</v>
      </c>
      <c r="D5" s="31">
        <f>SUM(D6:D12)</f>
        <v>60435.484604769343</v>
      </c>
      <c r="E5" s="18">
        <f>SUM(E6:E12)</f>
        <v>375.27651574315553</v>
      </c>
      <c r="F5" s="18">
        <f>SUM(F6:F12)</f>
        <v>9338.2211520270557</v>
      </c>
      <c r="G5" s="19"/>
      <c r="H5" s="18"/>
      <c r="I5" s="18"/>
      <c r="J5" s="18">
        <f>SUM(J6:J12)</f>
        <v>0</v>
      </c>
      <c r="K5" s="18"/>
      <c r="L5" s="18"/>
      <c r="M5" s="18"/>
      <c r="N5" s="18">
        <f>SUM(N6:N12)</f>
        <v>1953.9561611485767</v>
      </c>
      <c r="O5" s="18">
        <f>B38*B39*B40</f>
        <v>1.5633333333333335</v>
      </c>
      <c r="P5" s="18">
        <f>B46*B47*B48/1000-B46*B47*B48/1000/B49</f>
        <v>0</v>
      </c>
      <c r="R5" s="33"/>
    </row>
    <row r="6" spans="1:18">
      <c r="A6" s="33" t="s">
        <v>54</v>
      </c>
      <c r="B6" s="38">
        <f>B26</f>
        <v>15011.420229691001</v>
      </c>
      <c r="C6" s="34"/>
      <c r="D6" s="38">
        <f>IF(ISERROR(TER_kantoor_gas_kWh/1000),0,TER_kantoor_gas_kWh/1000)*0.902</f>
        <v>25819.057074583157</v>
      </c>
      <c r="E6" s="34">
        <f>$C$26*'E Balans VL '!I12/100/3.6*1000000</f>
        <v>24.636783049262373</v>
      </c>
      <c r="F6" s="34">
        <f>$C$26*('E Balans VL '!L12+'E Balans VL '!N12)/100/3.6*1000000</f>
        <v>1769.4932455429041</v>
      </c>
      <c r="G6" s="35"/>
      <c r="H6" s="34"/>
      <c r="I6" s="34"/>
      <c r="J6" s="34">
        <f>$C$26*('E Balans VL '!D12+'E Balans VL '!E12)/100/3.6*1000000</f>
        <v>0</v>
      </c>
      <c r="K6" s="34"/>
      <c r="L6" s="34"/>
      <c r="M6" s="34"/>
      <c r="N6" s="34">
        <f>$C$26*'E Balans VL '!Y12/100/3.6*1000000</f>
        <v>3.0329863725147441</v>
      </c>
      <c r="O6" s="34"/>
      <c r="P6" s="34"/>
      <c r="R6" s="33"/>
    </row>
    <row r="7" spans="1:18">
      <c r="A7" s="33" t="s">
        <v>53</v>
      </c>
      <c r="B7" s="38">
        <f t="shared" ref="B7:B12" si="0">B27</f>
        <v>3327.9081339794002</v>
      </c>
      <c r="C7" s="34"/>
      <c r="D7" s="38">
        <f>IF(ISERROR(TER_horeca_gas_kWh/1000),0,TER_horeca_gas_kWh/1000)*0.902</f>
        <v>4581.6291531638826</v>
      </c>
      <c r="E7" s="34">
        <f>$C$27*'E Balans VL '!I9/100/3.6*1000000</f>
        <v>172.69435089495369</v>
      </c>
      <c r="F7" s="34">
        <f>$C$27*('E Balans VL '!L9+'E Balans VL '!N9)/100/3.6*1000000</f>
        <v>759.43105091620919</v>
      </c>
      <c r="G7" s="35"/>
      <c r="H7" s="34"/>
      <c r="I7" s="34"/>
      <c r="J7" s="34">
        <f>$C$27*('E Balans VL '!D9+'E Balans VL '!E9)/100/3.6*1000000</f>
        <v>0</v>
      </c>
      <c r="K7" s="34"/>
      <c r="L7" s="34"/>
      <c r="M7" s="34"/>
      <c r="N7" s="34">
        <f>$C$27*'E Balans VL '!Y9/100/3.6*1000000</f>
        <v>0.35142557386778706</v>
      </c>
      <c r="O7" s="34"/>
      <c r="P7" s="34"/>
      <c r="R7" s="33"/>
    </row>
    <row r="8" spans="1:18">
      <c r="A8" s="6" t="s">
        <v>52</v>
      </c>
      <c r="B8" s="38">
        <f t="shared" si="0"/>
        <v>21642.886249995001</v>
      </c>
      <c r="C8" s="34"/>
      <c r="D8" s="38">
        <f>IF(ISERROR(TER_handel_gas_kWh/1000),0,TER_handel_gas_kWh/1000)*0.902</f>
        <v>13636.490259153705</v>
      </c>
      <c r="E8" s="34">
        <f>$C$28*'E Balans VL '!I13/100/3.6*1000000</f>
        <v>116.54960201345948</v>
      </c>
      <c r="F8" s="34">
        <f>$C$28*('E Balans VL '!L13+'E Balans VL '!N13)/100/3.6*1000000</f>
        <v>4413.6276750252127</v>
      </c>
      <c r="G8" s="35"/>
      <c r="H8" s="34"/>
      <c r="I8" s="34"/>
      <c r="J8" s="34">
        <f>$C$28*('E Balans VL '!D13+'E Balans VL '!E13)/100/3.6*1000000</f>
        <v>0</v>
      </c>
      <c r="K8" s="34"/>
      <c r="L8" s="34"/>
      <c r="M8" s="34"/>
      <c r="N8" s="34">
        <f>$C$28*'E Balans VL '!Y13/100/3.6*1000000</f>
        <v>107.61864404045207</v>
      </c>
      <c r="O8" s="34"/>
      <c r="P8" s="34"/>
      <c r="R8" s="33"/>
    </row>
    <row r="9" spans="1:18">
      <c r="A9" s="33" t="s">
        <v>51</v>
      </c>
      <c r="B9" s="38">
        <f t="shared" si="0"/>
        <v>812.61649875094906</v>
      </c>
      <c r="C9" s="34"/>
      <c r="D9" s="38">
        <f>IF(ISERROR(TER_gezond_gas_kWh/1000),0,TER_gezond_gas_kWh/1000)*0.902</f>
        <v>2547.8150398831453</v>
      </c>
      <c r="E9" s="34">
        <f>$C$29*'E Balans VL '!I10/100/3.6*1000000</f>
        <v>0.8053121912987693</v>
      </c>
      <c r="F9" s="34">
        <f>$C$29*('E Balans VL '!L10+'E Balans VL '!N10)/100/3.6*1000000</f>
        <v>281.95450229460238</v>
      </c>
      <c r="G9" s="35"/>
      <c r="H9" s="34"/>
      <c r="I9" s="34"/>
      <c r="J9" s="34">
        <f>$C$29*('E Balans VL '!D10+'E Balans VL '!E10)/100/3.6*1000000</f>
        <v>0</v>
      </c>
      <c r="K9" s="34"/>
      <c r="L9" s="34"/>
      <c r="M9" s="34"/>
      <c r="N9" s="34">
        <f>$C$29*'E Balans VL '!Y10/100/3.6*1000000</f>
        <v>7.0022459731071436</v>
      </c>
      <c r="O9" s="34"/>
      <c r="P9" s="34"/>
      <c r="R9" s="33"/>
    </row>
    <row r="10" spans="1:18">
      <c r="A10" s="33" t="s">
        <v>50</v>
      </c>
      <c r="B10" s="38">
        <f t="shared" si="0"/>
        <v>2674.7681508718301</v>
      </c>
      <c r="C10" s="34"/>
      <c r="D10" s="38">
        <f>IF(ISERROR(TER_ander_gas_kWh/1000),0,TER_ander_gas_kWh/1000)*0.902</f>
        <v>2518.7402053126452</v>
      </c>
      <c r="E10" s="34">
        <f>$C$30*'E Balans VL '!I14/100/3.6*1000000</f>
        <v>21.882276714515967</v>
      </c>
      <c r="F10" s="34">
        <f>$C$30*('E Balans VL '!L14+'E Balans VL '!N14)/100/3.6*1000000</f>
        <v>781.99331299347944</v>
      </c>
      <c r="G10" s="35"/>
      <c r="H10" s="34"/>
      <c r="I10" s="34"/>
      <c r="J10" s="34">
        <f>$C$30*('E Balans VL '!D14+'E Balans VL '!E14)/100/3.6*1000000</f>
        <v>0</v>
      </c>
      <c r="K10" s="34"/>
      <c r="L10" s="34"/>
      <c r="M10" s="34"/>
      <c r="N10" s="34">
        <f>$C$30*'E Balans VL '!Y14/100/3.6*1000000</f>
        <v>1542.9902638175515</v>
      </c>
      <c r="O10" s="34"/>
      <c r="P10" s="34"/>
      <c r="R10" s="33"/>
    </row>
    <row r="11" spans="1:18">
      <c r="A11" s="33" t="s">
        <v>55</v>
      </c>
      <c r="B11" s="38">
        <f t="shared" si="0"/>
        <v>1179.82232538943</v>
      </c>
      <c r="C11" s="34"/>
      <c r="D11" s="38">
        <f>IF(ISERROR(TER_onderwijs_gas_kWh/1000),0,TER_onderwijs_gas_kWh/1000)*0.902</f>
        <v>4675.5823162287998</v>
      </c>
      <c r="E11" s="34">
        <f>$C$31*'E Balans VL '!I11/100/3.6*1000000</f>
        <v>0.72719269972372425</v>
      </c>
      <c r="F11" s="34">
        <f>$C$31*('E Balans VL '!L11+'E Balans VL '!N11)/100/3.6*1000000</f>
        <v>456.13841782796362</v>
      </c>
      <c r="G11" s="35"/>
      <c r="H11" s="34"/>
      <c r="I11" s="34"/>
      <c r="J11" s="34">
        <f>$C$31*('E Balans VL '!D11+'E Balans VL '!E11)/100/3.6*1000000</f>
        <v>0</v>
      </c>
      <c r="K11" s="34"/>
      <c r="L11" s="34"/>
      <c r="M11" s="34"/>
      <c r="N11" s="34">
        <f>$C$31*'E Balans VL '!Y11/100/3.6*1000000</f>
        <v>3.8377091939657815</v>
      </c>
      <c r="O11" s="34"/>
      <c r="P11" s="34"/>
      <c r="R11" s="33"/>
    </row>
    <row r="12" spans="1:18">
      <c r="A12" s="33" t="s">
        <v>260</v>
      </c>
      <c r="B12" s="38">
        <f t="shared" si="0"/>
        <v>4395.77552960506</v>
      </c>
      <c r="C12" s="34"/>
      <c r="D12" s="38">
        <f>IF(ISERROR(TER_rest_gas_kWh/1000),0,TER_rest_gas_kWh/1000)*0.902</f>
        <v>6656.1705564440126</v>
      </c>
      <c r="E12" s="34">
        <f>$C$32*'E Balans VL '!I8/100/3.6*1000000</f>
        <v>37.980998179941558</v>
      </c>
      <c r="F12" s="34">
        <f>$C$32*('E Balans VL '!L8+'E Balans VL '!N8)/100/3.6*1000000</f>
        <v>875.58294742668534</v>
      </c>
      <c r="G12" s="35"/>
      <c r="H12" s="34"/>
      <c r="I12" s="34"/>
      <c r="J12" s="34">
        <f>$C$32*('E Balans VL '!D8+'E Balans VL '!E8)/100/3.6*1000000</f>
        <v>0</v>
      </c>
      <c r="K12" s="34"/>
      <c r="L12" s="34"/>
      <c r="M12" s="34"/>
      <c r="N12" s="34">
        <f>$C$32*'E Balans VL '!Y8/100/3.6*1000000</f>
        <v>289.12288617711755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49045.197118282675</v>
      </c>
      <c r="C16" s="22">
        <f t="shared" ca="1" si="1"/>
        <v>0</v>
      </c>
      <c r="D16" s="22">
        <f t="shared" ca="1" si="1"/>
        <v>60435.484604769343</v>
      </c>
      <c r="E16" s="22">
        <f t="shared" si="1"/>
        <v>375.27651574315553</v>
      </c>
      <c r="F16" s="22">
        <f t="shared" ca="1" si="1"/>
        <v>9338.2211520270557</v>
      </c>
      <c r="G16" s="22">
        <f t="shared" si="1"/>
        <v>0</v>
      </c>
      <c r="H16" s="22">
        <f t="shared" si="1"/>
        <v>0</v>
      </c>
      <c r="I16" s="22">
        <f t="shared" si="1"/>
        <v>0</v>
      </c>
      <c r="J16" s="22">
        <f t="shared" si="1"/>
        <v>0</v>
      </c>
      <c r="K16" s="22">
        <f t="shared" si="1"/>
        <v>0</v>
      </c>
      <c r="L16" s="22">
        <f t="shared" ca="1" si="1"/>
        <v>0</v>
      </c>
      <c r="M16" s="22">
        <f t="shared" si="1"/>
        <v>0</v>
      </c>
      <c r="N16" s="22">
        <f t="shared" ca="1" si="1"/>
        <v>1953.9561611485767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0.2171171772792555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10648.554757426211</v>
      </c>
      <c r="C20" s="24">
        <f t="shared" ref="C20:P20" ca="1" si="2">C16*C18</f>
        <v>0</v>
      </c>
      <c r="D20" s="24">
        <f t="shared" ca="1" si="2"/>
        <v>12207.967890163409</v>
      </c>
      <c r="E20" s="24">
        <f t="shared" si="2"/>
        <v>85.187769073696302</v>
      </c>
      <c r="F20" s="24">
        <f t="shared" ca="1" si="2"/>
        <v>2493.3050475912241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15011.420229691001</v>
      </c>
      <c r="C26" s="40">
        <f>IF(ISERROR(B26*3.6/1000000/'E Balans VL '!Z12*100),0,B26*3.6/1000000/'E Balans VL '!Z12*100)</f>
        <v>0.31898191472547704</v>
      </c>
      <c r="D26" s="240" t="s">
        <v>707</v>
      </c>
      <c r="F26" s="6"/>
    </row>
    <row r="27" spans="1:18">
      <c r="A27" s="234" t="s">
        <v>53</v>
      </c>
      <c r="B27" s="34">
        <f>IF(ISERROR(TER_horeca_ele_kWh/1000),0,TER_horeca_ele_kWh/1000)</f>
        <v>3327.9081339794002</v>
      </c>
      <c r="C27" s="40">
        <f>IF(ISERROR(B27*3.6/1000000/'E Balans VL '!Z9*100),0,B27*3.6/1000000/'E Balans VL '!Z9*100)</f>
        <v>0.26193210474617667</v>
      </c>
      <c r="D27" s="240" t="s">
        <v>707</v>
      </c>
      <c r="F27" s="6"/>
    </row>
    <row r="28" spans="1:18">
      <c r="A28" s="174" t="s">
        <v>52</v>
      </c>
      <c r="B28" s="34">
        <f>IF(ISERROR(TER_handel_ele_kWh/1000),0,TER_handel_ele_kWh/1000)</f>
        <v>21642.886249995001</v>
      </c>
      <c r="C28" s="40">
        <f>IF(ISERROR(B28*3.6/1000000/'E Balans VL '!Z13*100),0,B28*3.6/1000000/'E Balans VL '!Z13*100)</f>
        <v>0.60622882667779487</v>
      </c>
      <c r="D28" s="240" t="s">
        <v>707</v>
      </c>
      <c r="F28" s="6"/>
    </row>
    <row r="29" spans="1:18">
      <c r="A29" s="234" t="s">
        <v>51</v>
      </c>
      <c r="B29" s="34">
        <f>IF(ISERROR(TER_gezond_ele_kWh/1000),0,TER_gezond_ele_kWh/1000)</f>
        <v>812.61649875094906</v>
      </c>
      <c r="C29" s="40">
        <f>IF(ISERROR(B29*3.6/1000000/'E Balans VL '!Z10*100),0,B29*3.6/1000000/'E Balans VL '!Z10*100)</f>
        <v>0.10395822272352478</v>
      </c>
      <c r="D29" s="240" t="s">
        <v>707</v>
      </c>
      <c r="F29" s="6"/>
    </row>
    <row r="30" spans="1:18">
      <c r="A30" s="234" t="s">
        <v>50</v>
      </c>
      <c r="B30" s="34">
        <f>IF(ISERROR(TER_ander_ele_kWh/1000),0,TER_ander_ele_kWh/1000)</f>
        <v>2674.7681508718301</v>
      </c>
      <c r="C30" s="40">
        <f>IF(ISERROR(B30*3.6/1000000/'E Balans VL '!Z14*100),0,B30*3.6/1000000/'E Balans VL '!Z14*100)</f>
        <v>0.20005011969505973</v>
      </c>
      <c r="D30" s="240" t="s">
        <v>707</v>
      </c>
      <c r="F30" s="6"/>
    </row>
    <row r="31" spans="1:18">
      <c r="A31" s="234" t="s">
        <v>55</v>
      </c>
      <c r="B31" s="34">
        <f>IF(ISERROR(TER_onderwijs_ele_kWh/1000),0,TER_onderwijs_ele_kWh/1000)</f>
        <v>1179.82232538943</v>
      </c>
      <c r="C31" s="40">
        <f>IF(ISERROR(B31*3.6/1000000/'E Balans VL '!Z11*100),0,B31*3.6/1000000/'E Balans VL '!Z11*100)</f>
        <v>0.24912101226652267</v>
      </c>
      <c r="D31" s="240" t="s">
        <v>707</v>
      </c>
    </row>
    <row r="32" spans="1:18">
      <c r="A32" s="234" t="s">
        <v>260</v>
      </c>
      <c r="B32" s="34">
        <f>IF(ISERROR(TER_rest_ele_kWh/1000),0,TER_rest_ele_kWh/1000)</f>
        <v>4395.77552960506</v>
      </c>
      <c r="C32" s="40">
        <f>IF(ISERROR(B32*3.6/1000000/'E Balans VL '!Z8*100),0,B32*3.6/1000000/'E Balans VL '!Z8*100)</f>
        <v>3.621210018780855E-2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53697.041222550281</v>
      </c>
      <c r="C5" s="18">
        <f>IF(ISERROR('Eigen informatie GS &amp; warmtenet'!B59),0,'Eigen informatie GS &amp; warmtenet'!B59)</f>
        <v>0</v>
      </c>
      <c r="D5" s="31">
        <f>SUM(D6:D15)</f>
        <v>131757.72361113678</v>
      </c>
      <c r="E5" s="18">
        <f>SUM(E6:E15)</f>
        <v>486.2027232741417</v>
      </c>
      <c r="F5" s="18">
        <f>SUM(F6:F15)</f>
        <v>12090.421040241454</v>
      </c>
      <c r="G5" s="19"/>
      <c r="H5" s="18"/>
      <c r="I5" s="18"/>
      <c r="J5" s="18">
        <f>SUM(J6:J15)</f>
        <v>139.94833177739429</v>
      </c>
      <c r="K5" s="18"/>
      <c r="L5" s="18"/>
      <c r="M5" s="18"/>
      <c r="N5" s="18">
        <f>SUM(N6:N15)</f>
        <v>1591.4348727769257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806.47046835169408</v>
      </c>
      <c r="C8" s="34"/>
      <c r="D8" s="38">
        <f>IF( ISERROR(IND_metaal_Gas_kWH/1000),0,IND_metaal_Gas_kWH/1000)*0.902</f>
        <v>249.14672093919253</v>
      </c>
      <c r="E8" s="34">
        <f>C30*'E Balans VL '!I18/100/3.6*1000000</f>
        <v>7.3443812193369951</v>
      </c>
      <c r="F8" s="34">
        <f>C30*'E Balans VL '!L18/100/3.6*1000000+C30*'E Balans VL '!N18/100/3.6*1000000</f>
        <v>106.36733033366119</v>
      </c>
      <c r="G8" s="35"/>
      <c r="H8" s="34"/>
      <c r="I8" s="34"/>
      <c r="J8" s="41">
        <f>C30*'E Balans VL '!D18/100/3.6*1000000+C30*'E Balans VL '!E18/100/3.6*1000000</f>
        <v>13.22494472801249</v>
      </c>
      <c r="K8" s="34"/>
      <c r="L8" s="34"/>
      <c r="M8" s="34"/>
      <c r="N8" s="34">
        <f>C30*'E Balans VL '!Y18/100/3.6*1000000</f>
        <v>2.7715186301530292</v>
      </c>
      <c r="O8" s="34"/>
      <c r="P8" s="34"/>
      <c r="R8" s="33"/>
    </row>
    <row r="9" spans="1:18">
      <c r="A9" s="6" t="s">
        <v>33</v>
      </c>
      <c r="B9" s="38">
        <f t="shared" si="0"/>
        <v>5773.8490128567701</v>
      </c>
      <c r="C9" s="34"/>
      <c r="D9" s="38">
        <f>IF( ISERROR(IND_andere_gas_kWh/1000),0,IND_andere_gas_kWh/1000)*0.902</f>
        <v>11800.252605660771</v>
      </c>
      <c r="E9" s="34">
        <f>C31*'E Balans VL '!I19/100/3.6*1000000</f>
        <v>33.373710124679832</v>
      </c>
      <c r="F9" s="34">
        <f>C31*'E Balans VL '!L19/100/3.6*1000000+C31*'E Balans VL '!N19/100/3.6*1000000</f>
        <v>4593.3747163480566</v>
      </c>
      <c r="G9" s="35"/>
      <c r="H9" s="34"/>
      <c r="I9" s="34"/>
      <c r="J9" s="41">
        <f>C31*'E Balans VL '!D19/100/3.6*1000000+C31*'E Balans VL '!E19/100/3.6*1000000</f>
        <v>0.54614198251793689</v>
      </c>
      <c r="K9" s="34"/>
      <c r="L9" s="34"/>
      <c r="M9" s="34"/>
      <c r="N9" s="34">
        <f>C31*'E Balans VL '!Y19/100/3.6*1000000</f>
        <v>437.45644015502978</v>
      </c>
      <c r="O9" s="34"/>
      <c r="P9" s="34"/>
      <c r="R9" s="33"/>
    </row>
    <row r="10" spans="1:18">
      <c r="A10" s="6" t="s">
        <v>41</v>
      </c>
      <c r="B10" s="38">
        <f t="shared" si="0"/>
        <v>21841.277364422898</v>
      </c>
      <c r="C10" s="34"/>
      <c r="D10" s="38">
        <f>IF( ISERROR(IND_voed_gas_kWh/1000),0,IND_voed_gas_kWh/1000)*0.902</f>
        <v>88962.765548528943</v>
      </c>
      <c r="E10" s="34">
        <f>C32*'E Balans VL '!I20/100/3.6*1000000</f>
        <v>214.7568965787689</v>
      </c>
      <c r="F10" s="34">
        <f>C32*'E Balans VL '!L20/100/3.6*1000000+C32*'E Balans VL '!N20/100/3.6*1000000</f>
        <v>2425.7589377456579</v>
      </c>
      <c r="G10" s="35"/>
      <c r="H10" s="34"/>
      <c r="I10" s="34"/>
      <c r="J10" s="41">
        <f>C32*'E Balans VL '!D20/100/3.6*1000000+C32*'E Balans VL '!E20/100/3.6*1000000</f>
        <v>8.6086389436485014E-2</v>
      </c>
      <c r="K10" s="34"/>
      <c r="L10" s="34"/>
      <c r="M10" s="34"/>
      <c r="N10" s="34">
        <f>C32*'E Balans VL '!Y20/100/3.6*1000000</f>
        <v>323.41794166730404</v>
      </c>
      <c r="O10" s="34"/>
      <c r="P10" s="34"/>
      <c r="R10" s="33"/>
    </row>
    <row r="11" spans="1:18">
      <c r="A11" s="6" t="s">
        <v>40</v>
      </c>
      <c r="B11" s="38">
        <f t="shared" si="0"/>
        <v>44.9058395225548</v>
      </c>
      <c r="C11" s="34"/>
      <c r="D11" s="38">
        <f>IF( ISERROR(IND_textiel_gas_kWh/1000),0,IND_textiel_gas_kWh/1000)*0.902</f>
        <v>73.236520665333913</v>
      </c>
      <c r="E11" s="34">
        <f>C33*'E Balans VL '!I21/100/3.6*1000000</f>
        <v>8.7442096993778293E-2</v>
      </c>
      <c r="F11" s="34">
        <f>C33*'E Balans VL '!L21/100/3.6*1000000+C33*'E Balans VL '!N21/100/3.6*1000000</f>
        <v>1.4811419461271178</v>
      </c>
      <c r="G11" s="35"/>
      <c r="H11" s="34"/>
      <c r="I11" s="34"/>
      <c r="J11" s="41">
        <f>C33*'E Balans VL '!D21/100/3.6*1000000+C33*'E Balans VL '!E21/100/3.6*1000000</f>
        <v>0</v>
      </c>
      <c r="K11" s="34"/>
      <c r="L11" s="34"/>
      <c r="M11" s="34"/>
      <c r="N11" s="34">
        <f>C33*'E Balans VL '!Y21/100/3.6*1000000</f>
        <v>0.46579166616836171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156.58435576726401</v>
      </c>
      <c r="C13" s="34"/>
      <c r="D13" s="38">
        <f>IF( ISERROR(IND_papier_gas_kWh/1000),0,IND_papier_gas_kWh/1000)*0.902</f>
        <v>289.25241082887635</v>
      </c>
      <c r="E13" s="34">
        <f>C35*'E Balans VL '!I23/100/3.6*1000000</f>
        <v>5.3334901900706457</v>
      </c>
      <c r="F13" s="34">
        <f>C35*'E Balans VL '!L23/100/3.6*1000000+C35*'E Balans VL '!N23/100/3.6*1000000</f>
        <v>25.864060617027665</v>
      </c>
      <c r="G13" s="35"/>
      <c r="H13" s="34"/>
      <c r="I13" s="34"/>
      <c r="J13" s="41">
        <f>C35*'E Balans VL '!D23/100/3.6*1000000+C35*'E Balans VL '!E23/100/3.6*1000000</f>
        <v>0</v>
      </c>
      <c r="K13" s="34"/>
      <c r="L13" s="34"/>
      <c r="M13" s="34"/>
      <c r="N13" s="34">
        <f>C35*'E Balans VL '!Y23/100/3.6*1000000</f>
        <v>57.618843655458861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25073.954181629098</v>
      </c>
      <c r="C15" s="34"/>
      <c r="D15" s="38">
        <f>IF( ISERROR(IND_rest_gas_kWh/1000),0,IND_rest_gas_kWh/1000)*0.902</f>
        <v>30383.069804513678</v>
      </c>
      <c r="E15" s="34">
        <f>C37*'E Balans VL '!I15/100/3.6*1000000</f>
        <v>225.30680306429156</v>
      </c>
      <c r="F15" s="34">
        <f>C37*'E Balans VL '!L15/100/3.6*1000000+C37*'E Balans VL '!N15/100/3.6*1000000</f>
        <v>4937.5748532509224</v>
      </c>
      <c r="G15" s="35"/>
      <c r="H15" s="34"/>
      <c r="I15" s="34"/>
      <c r="J15" s="41">
        <f>C37*'E Balans VL '!D15/100/3.6*1000000+C37*'E Balans VL '!E15/100/3.6*1000000</f>
        <v>126.09115867742739</v>
      </c>
      <c r="K15" s="34"/>
      <c r="L15" s="34"/>
      <c r="M15" s="34"/>
      <c r="N15" s="34">
        <f>C37*'E Balans VL '!Y15/100/3.6*1000000</f>
        <v>769.70433700281171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53697.041222550281</v>
      </c>
      <c r="C18" s="22">
        <f>C5+C16</f>
        <v>0</v>
      </c>
      <c r="D18" s="22">
        <f>MAX((D5+D16),0)</f>
        <v>131757.72361113678</v>
      </c>
      <c r="E18" s="22">
        <f>MAX((E5+E16),0)</f>
        <v>486.2027232741417</v>
      </c>
      <c r="F18" s="22">
        <f>MAX((F5+F16),0)</f>
        <v>12090.421040241454</v>
      </c>
      <c r="G18" s="22"/>
      <c r="H18" s="22"/>
      <c r="I18" s="22"/>
      <c r="J18" s="22">
        <f>MAX((J5+J16),0)</f>
        <v>139.94833177739429</v>
      </c>
      <c r="K18" s="22"/>
      <c r="L18" s="22">
        <f>MAX((L5+L16),0)</f>
        <v>0</v>
      </c>
      <c r="M18" s="22"/>
      <c r="N18" s="22">
        <f>MAX((N5+N16),0)</f>
        <v>1591.4348727769257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0.2171171772792555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11658.55001848794</v>
      </c>
      <c r="C22" s="24">
        <f ca="1">C18*C20</f>
        <v>0</v>
      </c>
      <c r="D22" s="24">
        <f>D18*D20</f>
        <v>26615.060169449633</v>
      </c>
      <c r="E22" s="24">
        <f>E18*E20</f>
        <v>110.36801818323018</v>
      </c>
      <c r="F22" s="24">
        <f>F18*F20</f>
        <v>3228.1424177444683</v>
      </c>
      <c r="G22" s="24"/>
      <c r="H22" s="24"/>
      <c r="I22" s="24"/>
      <c r="J22" s="24">
        <f>J18*J20</f>
        <v>49.541709449197576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806.47046835169408</v>
      </c>
      <c r="C30" s="40">
        <f>IF(ISERROR(B30*3.6/1000000/'E Balans VL '!Z18*100),0,B30*3.6/1000000/'E Balans VL '!Z18*100)</f>
        <v>4.4874688742018914E-2</v>
      </c>
      <c r="D30" s="240" t="s">
        <v>707</v>
      </c>
    </row>
    <row r="31" spans="1:18">
      <c r="A31" s="6" t="s">
        <v>33</v>
      </c>
      <c r="B31" s="38">
        <f>IF( ISERROR(IND_ander_ele_kWh/1000),0,IND_ander_ele_kWh/1000)</f>
        <v>5773.8490128567701</v>
      </c>
      <c r="C31" s="40">
        <f>IF(ISERROR(B31*3.6/1000000/'E Balans VL '!Z19*100),0,B31*3.6/1000000/'E Balans VL '!Z19*100)</f>
        <v>0.26841107673236492</v>
      </c>
      <c r="D31" s="240" t="s">
        <v>707</v>
      </c>
    </row>
    <row r="32" spans="1:18">
      <c r="A32" s="174" t="s">
        <v>41</v>
      </c>
      <c r="B32" s="38">
        <f>IF( ISERROR(IND_voed_ele_kWh/1000),0,IND_voed_ele_kWh/1000)</f>
        <v>21841.277364422898</v>
      </c>
      <c r="C32" s="40">
        <f>IF(ISERROR(B32*3.6/1000000/'E Balans VL '!Z20*100),0,B32*3.6/1000000/'E Balans VL '!Z20*100)</f>
        <v>0.77204504450462019</v>
      </c>
      <c r="D32" s="240" t="s">
        <v>707</v>
      </c>
    </row>
    <row r="33" spans="1:5">
      <c r="A33" s="174" t="s">
        <v>40</v>
      </c>
      <c r="B33" s="38">
        <f>IF( ISERROR(IND_textiel_ele_kWh/1000),0,IND_textiel_ele_kWh/1000)</f>
        <v>44.9058395225548</v>
      </c>
      <c r="C33" s="40">
        <f>IF(ISERROR(B33*3.6/1000000/'E Balans VL '!Z21*100),0,B33*3.6/1000000/'E Balans VL '!Z21*100)</f>
        <v>6.0652150258838295E-3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156.58435576726401</v>
      </c>
      <c r="C35" s="40">
        <f>IF(ISERROR(B35*3.6/1000000/'E Balans VL '!Z22*100),0,B35*3.6/1000000/'E Balans VL '!Z22*100)</f>
        <v>3.1469039979562123E-2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25073.954181629098</v>
      </c>
      <c r="C37" s="40">
        <f>IF(ISERROR(B37*3.6/1000000/'E Balans VL '!Z15*100),0,B37*3.6/1000000/'E Balans VL '!Z15*100)</f>
        <v>0.18934539390260285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228.33677223527542</v>
      </c>
      <c r="C5" s="18">
        <f>'Eigen informatie GS &amp; warmtenet'!B60</f>
        <v>0</v>
      </c>
      <c r="D5" s="31">
        <f>IF(ISERROR(SUM(LB_lb_gas_kWh,LB_rest_gas_kWh,onbekend_gas_kWh)/1000),0,SUM(LB_lb_gas_kWh,LB_rest_gas_kWh,onbekend_gas_kWh)/1000)*0.902</f>
        <v>8952.4364574389419</v>
      </c>
      <c r="E5" s="18">
        <f>B17*'E Balans VL '!I25/3.6*1000000/100</f>
        <v>2.1510853851122591</v>
      </c>
      <c r="F5" s="18">
        <f>B17*('E Balans VL '!L25/3.6*1000000+'E Balans VL '!N25/3.6*1000000)/100</f>
        <v>745.13866612330935</v>
      </c>
      <c r="G5" s="19"/>
      <c r="H5" s="18"/>
      <c r="I5" s="18"/>
      <c r="J5" s="18">
        <f>('E Balans VL '!D25+'E Balans VL '!E25)/3.6*1000000*landbouw!B17/100</f>
        <v>28.246369355350382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228.33677223527542</v>
      </c>
      <c r="C8" s="22">
        <f>C5+C6</f>
        <v>0</v>
      </c>
      <c r="D8" s="22">
        <f>MAX((D5+D6),0)</f>
        <v>8952.4364574389419</v>
      </c>
      <c r="E8" s="22">
        <f>MAX((E5+E6),0)</f>
        <v>2.1510853851122591</v>
      </c>
      <c r="F8" s="22">
        <f>MAX((F5+F6),0)</f>
        <v>745.13866612330935</v>
      </c>
      <c r="G8" s="22"/>
      <c r="H8" s="22"/>
      <c r="I8" s="22"/>
      <c r="J8" s="22">
        <f>MAX((J5+J6),0)</f>
        <v>28.246369355350382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0.2171171772792555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49.575835456779281</v>
      </c>
      <c r="C12" s="24">
        <f ca="1">C8*C10</f>
        <v>0</v>
      </c>
      <c r="D12" s="24">
        <f>D8*D10</f>
        <v>1808.3921644026664</v>
      </c>
      <c r="E12" s="24">
        <f>E8*E10</f>
        <v>0.48829638242048284</v>
      </c>
      <c r="F12" s="24">
        <f>F8*F10</f>
        <v>198.9520238549236</v>
      </c>
      <c r="G12" s="24"/>
      <c r="H12" s="24"/>
      <c r="I12" s="24"/>
      <c r="J12" s="24">
        <f>J8*J10</f>
        <v>9.9992147517940353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3.0913150255674014E-2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11.542282241641102</v>
      </c>
      <c r="C26" s="250">
        <f>B26*'GWP N2O_CH4'!B5</f>
        <v>242.38792707446314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1.3983399397743868</v>
      </c>
      <c r="C27" s="250">
        <f>B27*'GWP N2O_CH4'!B5</f>
        <v>29.365138735262121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0.1424551431049865</v>
      </c>
      <c r="C28" s="250">
        <f>B28*'GWP N2O_CH4'!B4</f>
        <v>44.161094362545818</v>
      </c>
      <c r="D28" s="51"/>
    </row>
    <row r="29" spans="1:4">
      <c r="A29" s="42" t="s">
        <v>277</v>
      </c>
      <c r="B29" s="250">
        <f>B34*'ha_N2O bodem landbouw'!B4</f>
        <v>1.0534346871408293</v>
      </c>
      <c r="C29" s="250">
        <f>B29*'GWP N2O_CH4'!B4</f>
        <v>326.56475301365708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2.8439420312297595E-4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2.3341113710796891E-5</v>
      </c>
      <c r="C5" s="447" t="s">
        <v>211</v>
      </c>
      <c r="D5" s="432">
        <f>SUM(D6:D11)</f>
        <v>6.4484514359146544E-5</v>
      </c>
      <c r="E5" s="432">
        <f>SUM(E6:E11)</f>
        <v>4.2650474169094394E-3</v>
      </c>
      <c r="F5" s="445" t="s">
        <v>211</v>
      </c>
      <c r="G5" s="432">
        <f>SUM(G6:G11)</f>
        <v>1.0136004944441073</v>
      </c>
      <c r="H5" s="432">
        <f>SUM(H6:H11)</f>
        <v>0.14799702537901635</v>
      </c>
      <c r="I5" s="447" t="s">
        <v>211</v>
      </c>
      <c r="J5" s="447" t="s">
        <v>211</v>
      </c>
      <c r="K5" s="447" t="s">
        <v>211</v>
      </c>
      <c r="L5" s="447" t="s">
        <v>211</v>
      </c>
      <c r="M5" s="432">
        <f>SUM(M6:M11)</f>
        <v>5.1905984789726786E-2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6.4603283300444589E-6</v>
      </c>
      <c r="C6" s="433"/>
      <c r="D6" s="433">
        <f>vkm_2011_GW_PW*SUMIFS(TableVerdeelsleutelVkm[CNG],TableVerdeelsleutelVkm[Voertuigtype],"Lichte voertuigen")*SUMIFS(TableECFTransport[EnergieConsumptieFactor (PJ per km)],TableECFTransport[Index],CONCATENATE($A6,"_CNG_CNG"))</f>
        <v>1.5776229973774801E-5</v>
      </c>
      <c r="E6" s="435">
        <f>vkm_2011_GW_PW*SUMIFS(TableVerdeelsleutelVkm[LPG],TableVerdeelsleutelVkm[Voertuigtype],"Lichte voertuigen")*SUMIFS(TableECFTransport[EnergieConsumptieFactor (PJ per km)],TableECFTransport[Index],CONCATENATE($A6,"_LPG_LPG"))</f>
        <v>9.3513338348141263E-4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0.13518453100171401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3.5427981795916531E-2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7.6403425252914983E-3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2.950382341401819E-2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1.1903642490165328E-5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1.3143862046754631E-3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3.2604446881371258E-6</v>
      </c>
      <c r="C8" s="433"/>
      <c r="D8" s="435">
        <f>vkm_2011_NGW_PW*SUMIFS(TableVerdeelsleutelVkm[CNG],TableVerdeelsleutelVkm[Voertuigtype],"Lichte voertuigen")*SUMIFS(TableECFTransport[EnergieConsumptieFactor (PJ per km)],TableECFTransport[Index],CONCATENATE($A8,"_CNG_CNG"))</f>
        <v>1.4285289356212666E-5</v>
      </c>
      <c r="E8" s="435">
        <f>vkm_2011_NGW_PW*SUMIFS(TableVerdeelsleutelVkm[LPG],TableVerdeelsleutelVkm[Voertuigtype],"Lichte voertuigen")*SUMIFS(TableECFTransport[EnergieConsumptieFactor (PJ per km)],TableECFTransport[Index],CONCATENATE($A8,"_LPG_LPG"))</f>
        <v>7.7681566981122735E-4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0.10608608322647214</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3.0719566000062641E-2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6.1291987159863568E-3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1.4153000204480484E-2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4.9718318987354023E-6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6.3047800939806237E-4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1.3620340692615306E-5</v>
      </c>
      <c r="C10" s="433"/>
      <c r="D10" s="435">
        <f>vkm_2011_SW_PW*SUMIFS(TableVerdeelsleutelVkm[CNG],TableVerdeelsleutelVkm[Voertuigtype],"Lichte voertuigen")*SUMIFS(TableECFTransport[EnergieConsumptieFactor (PJ per km)],TableECFTransport[Index],CONCATENATE($A10,"_CNG_CNG"))</f>
        <v>3.4422995029159074E-5</v>
      </c>
      <c r="E10" s="435">
        <f>vkm_2011_SW_PW*SUMIFS(TableVerdeelsleutelVkm[LPG],TableVerdeelsleutelVkm[Voertuigtype],"Lichte voertuigen")*SUMIFS(TableECFTransport[EnergieConsumptieFactor (PJ per km)],TableECFTransport[Index],CONCATENATE($A10,"_LPG_LPG"))</f>
        <v>2.5530983636167996E-3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0.33635642984210024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8.1664670429420952E-2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1.8713553749155919E-2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0.39231662675532214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1.6793167922731728E-4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1.7478025585219496E-2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6.4836426974435808</v>
      </c>
      <c r="C14" s="22"/>
      <c r="D14" s="22">
        <f t="shared" ref="D14:M14" si="0">((D5)*10^9/3600)+D12</f>
        <v>17.91236509976293</v>
      </c>
      <c r="E14" s="22">
        <f t="shared" si="0"/>
        <v>1184.7353935859553</v>
      </c>
      <c r="F14" s="22"/>
      <c r="G14" s="22">
        <f t="shared" si="0"/>
        <v>281555.69290114089</v>
      </c>
      <c r="H14" s="22">
        <f t="shared" si="0"/>
        <v>41110.28482750454</v>
      </c>
      <c r="I14" s="22"/>
      <c r="J14" s="22"/>
      <c r="K14" s="22"/>
      <c r="L14" s="22"/>
      <c r="M14" s="22">
        <f t="shared" si="0"/>
        <v>14418.329108257441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0.2171171772792555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1.4077102009562084</v>
      </c>
      <c r="C18" s="24"/>
      <c r="D18" s="24">
        <f t="shared" ref="D18:M18" si="1">D14*D16</f>
        <v>3.6182977501521121</v>
      </c>
      <c r="E18" s="24">
        <f t="shared" si="1"/>
        <v>268.93493434401188</v>
      </c>
      <c r="F18" s="24"/>
      <c r="G18" s="24">
        <f t="shared" si="1"/>
        <v>75175.370004604629</v>
      </c>
      <c r="H18" s="24">
        <f t="shared" si="1"/>
        <v>10236.460922048631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1.4408469842562102E-2</v>
      </c>
      <c r="H50" s="323">
        <f t="shared" si="2"/>
        <v>0</v>
      </c>
      <c r="I50" s="323">
        <f t="shared" si="2"/>
        <v>0</v>
      </c>
      <c r="J50" s="323">
        <f t="shared" si="2"/>
        <v>0</v>
      </c>
      <c r="K50" s="323">
        <f t="shared" si="2"/>
        <v>0</v>
      </c>
      <c r="L50" s="323">
        <f t="shared" si="2"/>
        <v>0</v>
      </c>
      <c r="M50" s="323">
        <f t="shared" si="2"/>
        <v>6.326996790446376E-4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1.4408469842562102E-2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6.326996790446376E-4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4002.3527340450282</v>
      </c>
      <c r="H54" s="22">
        <f t="shared" si="3"/>
        <v>0</v>
      </c>
      <c r="I54" s="22">
        <f t="shared" si="3"/>
        <v>0</v>
      </c>
      <c r="J54" s="22">
        <f t="shared" si="3"/>
        <v>0</v>
      </c>
      <c r="K54" s="22">
        <f t="shared" si="3"/>
        <v>0</v>
      </c>
      <c r="L54" s="22">
        <f t="shared" si="3"/>
        <v>0</v>
      </c>
      <c r="M54" s="22">
        <f t="shared" si="3"/>
        <v>175.74991084573267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0.2171171772792555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1068.6281799900225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2954.0030263601921</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2954.0030263601921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2018-12-05T16:04:31Z</dcterms:modified>
</cp:coreProperties>
</file>