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sheetId="54" r:id="rId5"/>
    <sheet name="INPUT--&gt;" sheetId="35" r:id="rId6"/>
    <sheet name="Eigen gebouwen" sheetId="19" r:id="rId7"/>
    <sheet name="Eigen openbare verlichting" sheetId="49" r:id="rId8"/>
    <sheet name="Eigen vloot" sheetId="20" r:id="rId9"/>
    <sheet name="Eigen informatie GS &amp; warmtenet" sheetId="43" r:id="rId10"/>
    <sheet name="Conversiefactoren" sheetId="50" r:id="rId11"/>
    <sheet name="DATA--&gt;" sheetId="36" r:id="rId12"/>
    <sheet name="data" sheetId="4" r:id="rId13"/>
    <sheet name="EF N2O_CH4 landbouw" sheetId="7" r:id="rId14"/>
    <sheet name="ha_N2O bodem landbouw" sheetId="21" r:id="rId15"/>
    <sheet name="GWP N2O_CH4" sheetId="47" r:id="rId16"/>
    <sheet name="EF brandstof" sheetId="11" r:id="rId17"/>
    <sheet name="EF ele_warmte" sheetId="6" r:id="rId18"/>
    <sheet name="ECF transport " sheetId="23" r:id="rId19"/>
    <sheet name="E Balans VL " sheetId="5" r:id="rId20"/>
    <sheet name="BEREKENINGEN PER SECTOR --&gt;" sheetId="45" r:id="rId21"/>
    <sheet name="openbare verlichting" sheetId="9" r:id="rId22"/>
    <sheet name="huishoudens" sheetId="13" r:id="rId23"/>
    <sheet name="tertiair" sheetId="15" r:id="rId24"/>
    <sheet name="industrie" sheetId="16" r:id="rId25"/>
    <sheet name="landbouw" sheetId="17" r:id="rId26"/>
    <sheet name="transport" sheetId="22" r:id="rId27"/>
    <sheet name="lokale energieproductie" sheetId="18" r:id="rId28"/>
    <sheet name="BRONNEN --&gt;" sheetId="44" r:id="rId29"/>
    <sheet name="versiebeheer" sheetId="51" r:id="rId30"/>
  </sheets>
  <definedNames>
    <definedName name="_Toc352313866" localSheetId="13">'EF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H14" i="15" l="1"/>
  <c r="H16" s="1"/>
  <c r="G14"/>
  <c r="G16" s="1"/>
  <c r="B6" i="6" l="1"/>
  <c r="N25" i="22" l="1"/>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Q17" i="14" l="1"/>
  <c r="P17"/>
  <c r="O17"/>
  <c r="M17"/>
  <c r="L17"/>
  <c r="K17"/>
  <c r="J17"/>
  <c r="G17"/>
  <c r="D17"/>
  <c r="P81" l="1"/>
  <c r="P69"/>
  <c r="R40" l="1"/>
  <c r="Q48"/>
  <c r="P48"/>
  <c r="L48"/>
  <c r="J48"/>
  <c r="I48"/>
  <c r="H48"/>
  <c r="Q22"/>
  <c r="P22"/>
  <c r="N22"/>
  <c r="L22"/>
  <c r="J22"/>
  <c r="I22"/>
  <c r="H22"/>
  <c r="B46" i="15" l="1"/>
  <c r="B69" i="13"/>
  <c r="B35" i="19" l="1"/>
  <c r="B27"/>
  <c r="B26"/>
  <c r="B6" i="13" l="1"/>
  <c r="B17" i="17" l="1"/>
  <c r="B34" l="1"/>
  <c r="B18" i="13" l="1"/>
  <c r="B19"/>
  <c r="B20"/>
  <c r="B21"/>
  <c r="B6" i="16" l="1"/>
  <c r="W91" i="18" l="1"/>
  <c r="V91"/>
  <c r="U91"/>
  <c r="T91"/>
  <c r="S91"/>
  <c r="R91"/>
  <c r="Q91"/>
  <c r="P91"/>
  <c r="O91"/>
  <c r="C6" i="17" s="1"/>
  <c r="N91" i="18"/>
  <c r="M91"/>
  <c r="W90"/>
  <c r="V90"/>
  <c r="U90"/>
  <c r="T90"/>
  <c r="S90"/>
  <c r="R90"/>
  <c r="Q90"/>
  <c r="P90"/>
  <c r="O90"/>
  <c r="N90"/>
  <c r="M90"/>
  <c r="W89"/>
  <c r="V89"/>
  <c r="U89"/>
  <c r="T89"/>
  <c r="S89"/>
  <c r="R89"/>
  <c r="Q89"/>
  <c r="P89"/>
  <c r="O89"/>
  <c r="N89"/>
  <c r="M89"/>
  <c r="W88"/>
  <c r="H8" s="1"/>
  <c r="V88"/>
  <c r="U88"/>
  <c r="T88"/>
  <c r="S88"/>
  <c r="E8" s="1"/>
  <c r="F68" i="14" s="1"/>
  <c r="R88" i="18"/>
  <c r="Q88"/>
  <c r="P88"/>
  <c r="C8" s="1"/>
  <c r="D68" i="14" s="1"/>
  <c r="O88" i="18"/>
  <c r="N88"/>
  <c r="B8" s="1"/>
  <c r="M88"/>
  <c r="W60"/>
  <c r="V60"/>
  <c r="U60"/>
  <c r="T60"/>
  <c r="S60"/>
  <c r="F6" i="17" s="1"/>
  <c r="R60" i="18"/>
  <c r="Q60"/>
  <c r="P60"/>
  <c r="D6" i="17" s="1"/>
  <c r="O60" i="18"/>
  <c r="N60"/>
  <c r="M60"/>
  <c r="W59"/>
  <c r="V59"/>
  <c r="U59"/>
  <c r="T59"/>
  <c r="S59"/>
  <c r="F13" i="15" s="1"/>
  <c r="R59" i="18"/>
  <c r="Q59"/>
  <c r="P59"/>
  <c r="O59"/>
  <c r="N59"/>
  <c r="B13" i="15" s="1"/>
  <c r="M59" i="18"/>
  <c r="W58"/>
  <c r="V58"/>
  <c r="U58"/>
  <c r="T58"/>
  <c r="S58"/>
  <c r="R58"/>
  <c r="Q58"/>
  <c r="P58"/>
  <c r="D16" i="16" s="1"/>
  <c r="O58" i="18"/>
  <c r="C16" i="16" s="1"/>
  <c r="N58" i="18"/>
  <c r="M58"/>
  <c r="W57"/>
  <c r="V57"/>
  <c r="U57"/>
  <c r="T57"/>
  <c r="S57"/>
  <c r="R57"/>
  <c r="Q57"/>
  <c r="P57"/>
  <c r="O57"/>
  <c r="B16" s="1"/>
  <c r="B78" i="14" s="1"/>
  <c r="N57" i="18"/>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I17"/>
  <c r="H17"/>
  <c r="I79" i="14" s="1"/>
  <c r="G17" i="18"/>
  <c r="F17"/>
  <c r="G79" i="14" s="1"/>
  <c r="E17" i="18"/>
  <c r="D17"/>
  <c r="C17"/>
  <c r="B17"/>
  <c r="K11"/>
  <c r="J11"/>
  <c r="I11"/>
  <c r="H11"/>
  <c r="G11"/>
  <c r="F11"/>
  <c r="E11"/>
  <c r="D11"/>
  <c r="C11"/>
  <c r="L8"/>
  <c r="L9" s="1"/>
  <c r="K8"/>
  <c r="K9" s="1"/>
  <c r="I8"/>
  <c r="J68" i="14" s="1"/>
  <c r="G8" i="18"/>
  <c r="G9" s="1"/>
  <c r="F8"/>
  <c r="F9" s="1"/>
  <c r="D8"/>
  <c r="D9" s="1"/>
  <c r="B6"/>
  <c r="B5"/>
  <c r="B4"/>
  <c r="B64" i="14" s="1"/>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48" i="14" s="1"/>
  <c r="L10" i="17"/>
  <c r="K10"/>
  <c r="J10"/>
  <c r="I10"/>
  <c r="H10"/>
  <c r="G10"/>
  <c r="F10"/>
  <c r="E10"/>
  <c r="D10"/>
  <c r="F5"/>
  <c r="D5"/>
  <c r="C5"/>
  <c r="B5"/>
  <c r="B8" s="1"/>
  <c r="B51" i="16"/>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B11"/>
  <c r="D10"/>
  <c r="D9"/>
  <c r="D8"/>
  <c r="D7"/>
  <c r="D6"/>
  <c r="P5"/>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H26"/>
  <c r="H27" s="1"/>
  <c r="H12" i="22" s="1"/>
  <c r="G26" i="20"/>
  <c r="E26"/>
  <c r="E27" s="1"/>
  <c r="D26"/>
  <c r="D27" s="1"/>
  <c r="B26"/>
  <c r="B27" s="1"/>
  <c r="N17" i="49"/>
  <c r="M17"/>
  <c r="L17"/>
  <c r="K17"/>
  <c r="J17"/>
  <c r="I17"/>
  <c r="F17"/>
  <c r="E17"/>
  <c r="D17"/>
  <c r="B15"/>
  <c r="B6" i="9" s="1"/>
  <c r="N17" i="19"/>
  <c r="N19" s="1"/>
  <c r="O35" i="14" s="1"/>
  <c r="M17" i="19"/>
  <c r="L17"/>
  <c r="K17"/>
  <c r="J17"/>
  <c r="J19" s="1"/>
  <c r="K35" i="14" s="1"/>
  <c r="I17" i="19"/>
  <c r="F17"/>
  <c r="E17"/>
  <c r="D17"/>
  <c r="P19"/>
  <c r="Q35" i="14" s="1"/>
  <c r="P35"/>
  <c r="N15" i="19"/>
  <c r="N14" i="15" s="1"/>
  <c r="M15" i="19"/>
  <c r="M14" i="15" s="1"/>
  <c r="M16"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B12"/>
  <c r="Q12" s="1"/>
  <c r="N11"/>
  <c r="L11"/>
  <c r="K11"/>
  <c r="J11"/>
  <c r="H11"/>
  <c r="G11"/>
  <c r="F11"/>
  <c r="M8"/>
  <c r="K8"/>
  <c r="I8"/>
  <c r="H8"/>
  <c r="G8"/>
  <c r="P7"/>
  <c r="O7"/>
  <c r="M7"/>
  <c r="K7"/>
  <c r="I7"/>
  <c r="H7"/>
  <c r="G7"/>
  <c r="M4"/>
  <c r="K4"/>
  <c r="I4"/>
  <c r="H4"/>
  <c r="G4"/>
  <c r="M79" i="14"/>
  <c r="K79"/>
  <c r="E79"/>
  <c r="B79"/>
  <c r="M78"/>
  <c r="L78"/>
  <c r="H78"/>
  <c r="G78"/>
  <c r="E78"/>
  <c r="M67"/>
  <c r="L67"/>
  <c r="H67"/>
  <c r="G67"/>
  <c r="E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N11"/>
  <c r="L11"/>
  <c r="J11"/>
  <c r="I11"/>
  <c r="H11"/>
  <c r="O9"/>
  <c r="M9"/>
  <c r="L9"/>
  <c r="K9"/>
  <c r="I9"/>
  <c r="H9"/>
  <c r="G9"/>
  <c r="A7" i="31"/>
  <c r="A6"/>
  <c r="L68" i="14" l="1"/>
  <c r="L69" s="1"/>
  <c r="H68"/>
  <c r="H69" s="1"/>
  <c r="C18" i="16"/>
  <c r="C8" i="48" s="1"/>
  <c r="B8" i="9"/>
  <c r="B6" i="48" s="1"/>
  <c r="Q6" s="1"/>
  <c r="C97" i="18"/>
  <c r="I100" s="1"/>
  <c r="H7" s="1"/>
  <c r="I67" i="14" s="1"/>
  <c r="F16" i="16"/>
  <c r="D13" i="15"/>
  <c r="J15" i="16"/>
  <c r="C13" i="15"/>
  <c r="C16" s="1"/>
  <c r="D10" i="14" s="1"/>
  <c r="B16" i="16"/>
  <c r="D8" i="17"/>
  <c r="D7" i="48" s="1"/>
  <c r="D24" s="1"/>
  <c r="O80" i="14"/>
  <c r="J8" i="18"/>
  <c r="E8" i="16"/>
  <c r="C12" i="14"/>
  <c r="R12" s="1"/>
  <c r="F19" i="19"/>
  <c r="G35" i="14" s="1"/>
  <c r="L19" i="19"/>
  <c r="M35" i="14" s="1"/>
  <c r="L12" i="13"/>
  <c r="M37" i="14" s="1"/>
  <c r="B97" i="18"/>
  <c r="G101" s="1"/>
  <c r="L4" i="48"/>
  <c r="M12" i="13"/>
  <c r="N37" i="14" s="1"/>
  <c r="N16" i="16"/>
  <c r="D12" i="22"/>
  <c r="E17" i="14"/>
  <c r="D13" i="48"/>
  <c r="D30" s="1"/>
  <c r="D31" i="20"/>
  <c r="E43" i="14" s="1"/>
  <c r="I101" i="18"/>
  <c r="H16" s="1"/>
  <c r="I78" i="14" s="1"/>
  <c r="I81" s="1"/>
  <c r="C101" i="18"/>
  <c r="B101"/>
  <c r="C16" s="1"/>
  <c r="D78" i="14" s="1"/>
  <c r="E12" i="22"/>
  <c r="F17" i="14"/>
  <c r="E13" i="48"/>
  <c r="E30" s="1"/>
  <c r="B12" i="22"/>
  <c r="C17" i="14"/>
  <c r="B13" i="48"/>
  <c r="B13" i="16"/>
  <c r="C35"/>
  <c r="C64" i="14"/>
  <c r="D11" i="48"/>
  <c r="D14" i="15"/>
  <c r="K19" i="19"/>
  <c r="L35" i="14" s="1"/>
  <c r="I19" i="19"/>
  <c r="J35" i="14" s="1"/>
  <c r="P18" i="16"/>
  <c r="P22" s="1"/>
  <c r="Q39" i="14" s="1"/>
  <c r="J8" i="17"/>
  <c r="J7" i="48" s="1"/>
  <c r="J24" s="1"/>
  <c r="G19" i="18"/>
  <c r="K19"/>
  <c r="L16" i="16"/>
  <c r="L18" s="1"/>
  <c r="N6" i="17"/>
  <c r="C100" i="18"/>
  <c r="B81" i="14"/>
  <c r="F100" i="18"/>
  <c r="E31" i="20"/>
  <c r="F43" i="14" s="1"/>
  <c r="H14" i="22"/>
  <c r="F8" i="17"/>
  <c r="G22" i="14" s="1"/>
  <c r="D100" i="18"/>
  <c r="H100"/>
  <c r="E9" i="14"/>
  <c r="J9"/>
  <c r="J15" s="1"/>
  <c r="N9"/>
  <c r="N15" s="1"/>
  <c r="I11" i="48"/>
  <c r="M11"/>
  <c r="M19" i="19"/>
  <c r="N35" i="14" s="1"/>
  <c r="J7" i="15"/>
  <c r="O5" i="16"/>
  <c r="B7" i="18"/>
  <c r="B67" i="14" s="1"/>
  <c r="C80"/>
  <c r="L6" i="17"/>
  <c r="E100" i="18"/>
  <c r="E7" s="1"/>
  <c r="F67" i="14" s="1"/>
  <c r="F69" s="1"/>
  <c r="N13" i="15"/>
  <c r="L13"/>
  <c r="L16" s="1"/>
  <c r="K5" i="48"/>
  <c r="K22" s="1"/>
  <c r="K20" i="15"/>
  <c r="L36" i="14" s="1"/>
  <c r="L41" s="1"/>
  <c r="G27" i="20"/>
  <c r="G12" i="22" s="1"/>
  <c r="G7"/>
  <c r="G10"/>
  <c r="G6"/>
  <c r="G9"/>
  <c r="G11"/>
  <c r="G8"/>
  <c r="M7"/>
  <c r="M10"/>
  <c r="M8"/>
  <c r="M11"/>
  <c r="M9"/>
  <c r="M6"/>
  <c r="L18" i="14"/>
  <c r="Q18"/>
  <c r="Q20" s="1"/>
  <c r="G18"/>
  <c r="G20" s="1"/>
  <c r="M27" i="20"/>
  <c r="J11" i="15"/>
  <c r="N7"/>
  <c r="B11"/>
  <c r="N11"/>
  <c r="F11"/>
  <c r="B38" i="13"/>
  <c r="B50" s="1"/>
  <c r="B7" i="15"/>
  <c r="J18" i="14"/>
  <c r="J20" s="1"/>
  <c r="F18"/>
  <c r="E58" i="22"/>
  <c r="F44" i="14" s="1"/>
  <c r="K18"/>
  <c r="K20" s="1"/>
  <c r="J58" i="22"/>
  <c r="K44" i="14" s="1"/>
  <c r="K46" s="1"/>
  <c r="D18"/>
  <c r="D20" s="1"/>
  <c r="I18"/>
  <c r="L58" i="22"/>
  <c r="M44" i="14" s="1"/>
  <c r="M18"/>
  <c r="M20" s="1"/>
  <c r="E18"/>
  <c r="N58" i="22"/>
  <c r="O44" i="14" s="1"/>
  <c r="O46" s="1"/>
  <c r="O18"/>
  <c r="O20" s="1"/>
  <c r="P18"/>
  <c r="O58" i="22"/>
  <c r="P44" i="14" s="1"/>
  <c r="P46" s="1"/>
  <c r="H58" i="22"/>
  <c r="I44" i="14" s="1"/>
  <c r="I58" i="22"/>
  <c r="J44" i="14" s="1"/>
  <c r="J46" s="1"/>
  <c r="K58" i="22"/>
  <c r="L44" i="14" s="1"/>
  <c r="L46" s="1"/>
  <c r="P58" i="22"/>
  <c r="Q44" i="14" s="1"/>
  <c r="Q46" s="1"/>
  <c r="D58" i="22"/>
  <c r="E44" i="14" s="1"/>
  <c r="F58" i="22"/>
  <c r="G44" i="14" s="1"/>
  <c r="G46" s="1"/>
  <c r="I17"/>
  <c r="H13" i="48"/>
  <c r="H30" s="1"/>
  <c r="H31" i="20"/>
  <c r="I43" i="14" s="1"/>
  <c r="C78" i="22"/>
  <c r="E7" i="15"/>
  <c r="Q9" i="14"/>
  <c r="G5" i="48"/>
  <c r="G22" s="1"/>
  <c r="E12" i="15"/>
  <c r="O5"/>
  <c r="O16" s="1"/>
  <c r="M20"/>
  <c r="N36" i="14" s="1"/>
  <c r="N41" s="1"/>
  <c r="N10"/>
  <c r="G20" i="15"/>
  <c r="H36" i="14" s="1"/>
  <c r="H41" s="1"/>
  <c r="H20" i="15"/>
  <c r="I36" i="14" s="1"/>
  <c r="I41" s="1"/>
  <c r="I10"/>
  <c r="I15" s="1"/>
  <c r="C66"/>
  <c r="B66"/>
  <c r="F8" i="16"/>
  <c r="D12" i="17"/>
  <c r="E48" i="14" s="1"/>
  <c r="J9" i="16"/>
  <c r="B7" i="48"/>
  <c r="C22" i="14"/>
  <c r="C65"/>
  <c r="B65"/>
  <c r="F6" i="15"/>
  <c r="F8"/>
  <c r="N10" i="16"/>
  <c r="E14"/>
  <c r="H15" i="14"/>
  <c r="L15"/>
  <c r="M46"/>
  <c r="P20"/>
  <c r="L20"/>
  <c r="D5" i="15"/>
  <c r="D16" s="1"/>
  <c r="B8"/>
  <c r="J8"/>
  <c r="F12"/>
  <c r="I20"/>
  <c r="J36" i="14" s="1"/>
  <c r="J41" s="1"/>
  <c r="B9" i="16"/>
  <c r="N9"/>
  <c r="E8" i="15"/>
  <c r="B10"/>
  <c r="E9" i="16"/>
  <c r="F12" i="17"/>
  <c r="G48" i="14" s="1"/>
  <c r="B6" i="15"/>
  <c r="N9"/>
  <c r="J10"/>
  <c r="D5" i="16"/>
  <c r="F10"/>
  <c r="J11"/>
  <c r="B15"/>
  <c r="F14"/>
  <c r="J6" i="15"/>
  <c r="F10"/>
  <c r="B12"/>
  <c r="J12"/>
  <c r="B7" i="16"/>
  <c r="E10"/>
  <c r="N14"/>
  <c r="N11"/>
  <c r="N6" i="15"/>
  <c r="F9"/>
  <c r="N10"/>
  <c r="B8" i="16"/>
  <c r="J8"/>
  <c r="B10"/>
  <c r="E11"/>
  <c r="B14"/>
  <c r="E15"/>
  <c r="E7"/>
  <c r="J7"/>
  <c r="F7"/>
  <c r="N7"/>
  <c r="E9" i="15"/>
  <c r="N15" i="16"/>
  <c r="C34"/>
  <c r="B9" i="15"/>
  <c r="E11" i="48"/>
  <c r="F9" i="14"/>
  <c r="D9"/>
  <c r="E19" i="19"/>
  <c r="F35" i="14" s="1"/>
  <c r="C11" i="48"/>
  <c r="D19" i="19"/>
  <c r="E35" i="14" s="1"/>
  <c r="C9"/>
  <c r="B11" i="48"/>
  <c r="E5" i="22"/>
  <c r="D5"/>
  <c r="B5"/>
  <c r="P11" i="48"/>
  <c r="P28" s="1"/>
  <c r="I5"/>
  <c r="I22" s="1"/>
  <c r="K28"/>
  <c r="H5"/>
  <c r="O11"/>
  <c r="P9" i="14"/>
  <c r="M5" i="48"/>
  <c r="G28"/>
  <c r="C11" i="14"/>
  <c r="B4" i="48"/>
  <c r="K21"/>
  <c r="G21"/>
  <c r="L21"/>
  <c r="M16"/>
  <c r="M21" s="1"/>
  <c r="B39" i="13"/>
  <c r="B51" s="1"/>
  <c r="F5" s="1"/>
  <c r="F8" s="1"/>
  <c r="G11" i="14" s="1"/>
  <c r="I21" i="48"/>
  <c r="O21"/>
  <c r="H24"/>
  <c r="L16"/>
  <c r="L28" s="1"/>
  <c r="H21"/>
  <c r="K24"/>
  <c r="K25"/>
  <c r="Q11" i="14"/>
  <c r="P12" i="13"/>
  <c r="Q37" i="14" s="1"/>
  <c r="P4" i="48"/>
  <c r="P21" s="1"/>
  <c r="D12" i="13"/>
  <c r="E37" i="14" s="1"/>
  <c r="D4" i="48"/>
  <c r="D21" s="1"/>
  <c r="E11" i="14"/>
  <c r="D28" i="48"/>
  <c r="H28"/>
  <c r="G25"/>
  <c r="E28"/>
  <c r="I28"/>
  <c r="C22" i="13"/>
  <c r="C21"/>
  <c r="C20"/>
  <c r="H25" i="48"/>
  <c r="F28"/>
  <c r="J28"/>
  <c r="N28"/>
  <c r="O24"/>
  <c r="I25"/>
  <c r="P11" i="14"/>
  <c r="O12" i="13"/>
  <c r="P37" i="14" s="1"/>
  <c r="H9" i="18"/>
  <c r="B10" i="48"/>
  <c r="C18" i="14"/>
  <c r="F7" i="48"/>
  <c r="F24" s="1"/>
  <c r="P24"/>
  <c r="E5" i="17"/>
  <c r="C8"/>
  <c r="G24" i="48"/>
  <c r="I24"/>
  <c r="G81" i="14"/>
  <c r="D79"/>
  <c r="H79"/>
  <c r="H81" s="1"/>
  <c r="L79"/>
  <c r="L81" s="1"/>
  <c r="F79"/>
  <c r="J79"/>
  <c r="E68"/>
  <c r="E69" s="1"/>
  <c r="I68"/>
  <c r="I69" s="1"/>
  <c r="M68"/>
  <c r="M69" s="1"/>
  <c r="D19" i="18"/>
  <c r="L19"/>
  <c r="B68" i="14"/>
  <c r="G68"/>
  <c r="G69" s="1"/>
  <c r="K68"/>
  <c r="E81"/>
  <c r="M81"/>
  <c r="B19" i="18"/>
  <c r="F19"/>
  <c r="D11" i="14"/>
  <c r="C4" i="48"/>
  <c r="M8" i="18"/>
  <c r="M17"/>
  <c r="M18"/>
  <c r="D13" i="14"/>
  <c r="I16" i="18" l="1"/>
  <c r="M16" s="1"/>
  <c r="M19" s="1"/>
  <c r="E22" i="14"/>
  <c r="G31" i="20"/>
  <c r="H43" i="14" s="1"/>
  <c r="E101" i="18"/>
  <c r="E16" s="1"/>
  <c r="F78" i="14" s="1"/>
  <c r="F81" s="1"/>
  <c r="P8" i="48"/>
  <c r="P25" s="1"/>
  <c r="F101" i="18"/>
  <c r="O78" i="14"/>
  <c r="K14" i="48"/>
  <c r="J12" i="17"/>
  <c r="K48" i="14" s="1"/>
  <c r="H101" i="18"/>
  <c r="J16" s="1"/>
  <c r="K78" i="14" s="1"/>
  <c r="K81" s="1"/>
  <c r="H19" i="18"/>
  <c r="G13" i="48"/>
  <c r="G30" s="1"/>
  <c r="D101" i="18"/>
  <c r="H17" i="14"/>
  <c r="B100" i="18"/>
  <c r="C7" s="1"/>
  <c r="G100"/>
  <c r="E9"/>
  <c r="Q13" i="14"/>
  <c r="L5" i="17"/>
  <c r="L8" s="1"/>
  <c r="E19" i="18"/>
  <c r="M28" i="48"/>
  <c r="B35" i="13"/>
  <c r="B47" s="1"/>
  <c r="N5" i="17"/>
  <c r="N8" s="1"/>
  <c r="D81" i="14"/>
  <c r="O79"/>
  <c r="B9" i="18"/>
  <c r="M31" i="20"/>
  <c r="N43" i="14" s="1"/>
  <c r="M12" i="22"/>
  <c r="O18" i="16"/>
  <c r="B34" i="13"/>
  <c r="B46" s="1"/>
  <c r="E5" s="1"/>
  <c r="E8" s="1"/>
  <c r="E12" s="1"/>
  <c r="F37" i="14" s="1"/>
  <c r="I7" i="18"/>
  <c r="K22" i="14"/>
  <c r="M13"/>
  <c r="L8" i="48"/>
  <c r="L25" s="1"/>
  <c r="L22" i="16"/>
  <c r="M39" i="14" s="1"/>
  <c r="C7" i="48"/>
  <c r="D22" i="14"/>
  <c r="M22" i="48"/>
  <c r="B36" i="13"/>
  <c r="B48" s="1"/>
  <c r="C48" s="1"/>
  <c r="N5" s="1"/>
  <c r="N8" s="1"/>
  <c r="N4" i="48" s="1"/>
  <c r="N21" s="1"/>
  <c r="J7" i="18"/>
  <c r="O68" i="14"/>
  <c r="C68"/>
  <c r="E8" i="17"/>
  <c r="F22" i="14" s="1"/>
  <c r="D18" i="16"/>
  <c r="D22" s="1"/>
  <c r="E39" i="14" s="1"/>
  <c r="C79"/>
  <c r="C19" i="18"/>
  <c r="B14" i="22"/>
  <c r="B9" i="48" s="1"/>
  <c r="E14" i="22"/>
  <c r="F19" i="14" s="1"/>
  <c r="F20" s="1"/>
  <c r="D14" i="22"/>
  <c r="D9" i="48" s="1"/>
  <c r="D26" s="1"/>
  <c r="M51" i="22"/>
  <c r="M50" s="1"/>
  <c r="M54" s="1"/>
  <c r="G51"/>
  <c r="G50" s="1"/>
  <c r="G54" s="1"/>
  <c r="N17" i="14"/>
  <c r="R17" s="1"/>
  <c r="M13" i="48"/>
  <c r="M30" s="1"/>
  <c r="H18" i="22"/>
  <c r="I45" i="14" s="1"/>
  <c r="I46" s="1"/>
  <c r="I53" s="1"/>
  <c r="I19"/>
  <c r="I20" s="1"/>
  <c r="I23" s="1"/>
  <c r="H9" i="48"/>
  <c r="H26" s="1"/>
  <c r="M5" i="22"/>
  <c r="G5"/>
  <c r="G14" s="1"/>
  <c r="I14" i="48"/>
  <c r="E5" i="15"/>
  <c r="O20"/>
  <c r="P36" i="14" s="1"/>
  <c r="P10"/>
  <c r="P20" i="15"/>
  <c r="Q36" i="14" s="1"/>
  <c r="Q41" s="1"/>
  <c r="Q53" s="1"/>
  <c r="Q10"/>
  <c r="J5" i="15"/>
  <c r="F4" i="48"/>
  <c r="F21" s="1"/>
  <c r="B69" i="14"/>
  <c r="B4" i="6" s="1"/>
  <c r="D15" i="14"/>
  <c r="J23"/>
  <c r="L53"/>
  <c r="L23"/>
  <c r="J53"/>
  <c r="D20" i="15"/>
  <c r="E10" i="14"/>
  <c r="F5" i="15"/>
  <c r="F16" s="1"/>
  <c r="B5"/>
  <c r="B16" s="1"/>
  <c r="B5" i="16"/>
  <c r="B18" s="1"/>
  <c r="C13" i="14" s="1"/>
  <c r="N5" i="15"/>
  <c r="N16" s="1"/>
  <c r="F12" i="13"/>
  <c r="G37" i="14" s="1"/>
  <c r="P5" i="48"/>
  <c r="P22" s="1"/>
  <c r="P31" s="1"/>
  <c r="F13" i="16"/>
  <c r="E13"/>
  <c r="N13"/>
  <c r="J13"/>
  <c r="N12"/>
  <c r="J12"/>
  <c r="F12"/>
  <c r="E12"/>
  <c r="Q11" i="48"/>
  <c r="O5"/>
  <c r="R9" i="14"/>
  <c r="C19"/>
  <c r="C20" s="1"/>
  <c r="E19"/>
  <c r="E20" s="1"/>
  <c r="O28" i="48"/>
  <c r="H22"/>
  <c r="D5"/>
  <c r="D22" s="1"/>
  <c r="K31"/>
  <c r="M25"/>
  <c r="M24"/>
  <c r="I31"/>
  <c r="C50" i="13"/>
  <c r="J5" s="1"/>
  <c r="J8" s="1"/>
  <c r="E7" i="48"/>
  <c r="E24" s="1"/>
  <c r="E12" i="17"/>
  <c r="F48" i="14" s="1"/>
  <c r="C5" i="48"/>
  <c r="C14" s="1"/>
  <c r="O81" i="14" l="1"/>
  <c r="B17" i="6" s="1"/>
  <c r="E13" i="14"/>
  <c r="E15" s="1"/>
  <c r="E23" s="1"/>
  <c r="D67"/>
  <c r="C9" i="18"/>
  <c r="J78" i="14"/>
  <c r="I19" i="18"/>
  <c r="J19"/>
  <c r="Q15" i="14"/>
  <c r="Q23" s="1"/>
  <c r="Q13" i="48"/>
  <c r="L7"/>
  <c r="L24" s="1"/>
  <c r="M22" i="14"/>
  <c r="L12" i="17"/>
  <c r="M48" i="14" s="1"/>
  <c r="O22"/>
  <c r="N12" i="17"/>
  <c r="O48" i="14" s="1"/>
  <c r="N7" i="48"/>
  <c r="N24" s="1"/>
  <c r="D8"/>
  <c r="D25" s="1"/>
  <c r="D31" s="1"/>
  <c r="R22" i="14"/>
  <c r="E16" i="15"/>
  <c r="E20" s="1"/>
  <c r="F36" i="14" s="1"/>
  <c r="K67"/>
  <c r="K69" s="1"/>
  <c r="J9" i="18"/>
  <c r="J67" i="14"/>
  <c r="I9" i="18"/>
  <c r="M7"/>
  <c r="M9" s="1"/>
  <c r="K10" i="14"/>
  <c r="J16" i="15"/>
  <c r="J20" s="1"/>
  <c r="K36" i="14" s="1"/>
  <c r="O8" i="48"/>
  <c r="O25" s="1"/>
  <c r="P13" i="14"/>
  <c r="P15" s="1"/>
  <c r="P23" s="1"/>
  <c r="M14" i="22"/>
  <c r="M18" s="1"/>
  <c r="N45" i="14" s="1"/>
  <c r="O22" i="16"/>
  <c r="P39" i="14" s="1"/>
  <c r="P41" s="1"/>
  <c r="P53" s="1"/>
  <c r="D18" i="22"/>
  <c r="E45" i="14" s="1"/>
  <c r="E46" s="1"/>
  <c r="E18" i="22"/>
  <c r="F45" i="14" s="1"/>
  <c r="F46" s="1"/>
  <c r="E9" i="48"/>
  <c r="E26" s="1"/>
  <c r="M58" i="22"/>
  <c r="N44" i="14" s="1"/>
  <c r="M10" i="48"/>
  <c r="M27" s="1"/>
  <c r="N18" i="14"/>
  <c r="H31" i="48"/>
  <c r="H14"/>
  <c r="G18" i="22"/>
  <c r="H45" i="14" s="1"/>
  <c r="H19"/>
  <c r="G9" i="48"/>
  <c r="G58" i="22"/>
  <c r="H44" i="14" s="1"/>
  <c r="H18"/>
  <c r="G10" i="48"/>
  <c r="E5"/>
  <c r="E22" s="1"/>
  <c r="P14"/>
  <c r="B8"/>
  <c r="J5"/>
  <c r="J22" s="1"/>
  <c r="J55" i="14"/>
  <c r="L55"/>
  <c r="E36"/>
  <c r="E41" s="1"/>
  <c r="N20" i="15"/>
  <c r="O36" i="14" s="1"/>
  <c r="O10"/>
  <c r="L5" i="48"/>
  <c r="L22" s="1"/>
  <c r="L31" s="1"/>
  <c r="M10" i="14"/>
  <c r="M15" s="1"/>
  <c r="F20" i="15"/>
  <c r="G36" i="14" s="1"/>
  <c r="G10"/>
  <c r="C10"/>
  <c r="B5" i="48"/>
  <c r="D23" i="14"/>
  <c r="B20" i="6" s="1"/>
  <c r="B22" s="1"/>
  <c r="Q55" i="14"/>
  <c r="N5" i="16"/>
  <c r="F5" i="48"/>
  <c r="F22" s="1"/>
  <c r="E5" i="16"/>
  <c r="J5"/>
  <c r="C35" i="13"/>
  <c r="F5" i="16"/>
  <c r="C36" i="13"/>
  <c r="O22" i="48"/>
  <c r="I55" i="14"/>
  <c r="N12" i="13"/>
  <c r="O37" i="14" s="1"/>
  <c r="O11"/>
  <c r="C38" i="13"/>
  <c r="C39"/>
  <c r="C32"/>
  <c r="C34"/>
  <c r="Q7" i="48"/>
  <c r="E4"/>
  <c r="E21" s="1"/>
  <c r="F11" i="14"/>
  <c r="J4" i="48"/>
  <c r="J12" i="13"/>
  <c r="K37" i="14" s="1"/>
  <c r="K11"/>
  <c r="N5" i="48"/>
  <c r="L20" i="15"/>
  <c r="D69" i="14" l="1"/>
  <c r="O67"/>
  <c r="D14" i="48"/>
  <c r="C78" i="14"/>
  <c r="C81" s="1"/>
  <c r="J81"/>
  <c r="F10"/>
  <c r="N19"/>
  <c r="M9" i="48"/>
  <c r="P55" i="14"/>
  <c r="O31" i="48"/>
  <c r="J18" i="16"/>
  <c r="J8" i="48" s="1"/>
  <c r="J25" s="1"/>
  <c r="N18" i="16"/>
  <c r="N8" i="48" s="1"/>
  <c r="E18" i="16"/>
  <c r="E22" s="1"/>
  <c r="F39" i="14" s="1"/>
  <c r="F41" s="1"/>
  <c r="F53" s="1"/>
  <c r="O14" i="48"/>
  <c r="F18" i="16"/>
  <c r="G13" i="14" s="1"/>
  <c r="G15" s="1"/>
  <c r="G23" s="1"/>
  <c r="J69"/>
  <c r="C67"/>
  <c r="C69" s="1"/>
  <c r="B14" i="48"/>
  <c r="R19" i="14"/>
  <c r="N20"/>
  <c r="N23" s="1"/>
  <c r="H46"/>
  <c r="H53" s="1"/>
  <c r="G26" i="48"/>
  <c r="G14"/>
  <c r="G27"/>
  <c r="Q10"/>
  <c r="R18" i="14"/>
  <c r="H20"/>
  <c r="H23" s="1"/>
  <c r="Q9" i="48"/>
  <c r="M26"/>
  <c r="M31" s="1"/>
  <c r="M14"/>
  <c r="N46" i="14"/>
  <c r="N53" s="1"/>
  <c r="F13"/>
  <c r="F15" s="1"/>
  <c r="F23" s="1"/>
  <c r="C15"/>
  <c r="C23" s="1"/>
  <c r="B3" i="6" s="1"/>
  <c r="E53" i="14"/>
  <c r="E55" s="1"/>
  <c r="M36"/>
  <c r="M41" s="1"/>
  <c r="L14" i="48"/>
  <c r="M23" i="14"/>
  <c r="C10" i="17"/>
  <c r="C12" s="1"/>
  <c r="D48" i="14" s="1"/>
  <c r="C16" i="22"/>
  <c r="C10" i="13"/>
  <c r="C16" i="48" s="1"/>
  <c r="C18" i="15"/>
  <c r="C20" s="1"/>
  <c r="D36" i="14" s="1"/>
  <c r="C20" i="16"/>
  <c r="C22" s="1"/>
  <c r="D39" i="14" s="1"/>
  <c r="C17" i="19"/>
  <c r="C19" s="1"/>
  <c r="D35" i="14" s="1"/>
  <c r="C29" i="20"/>
  <c r="C17" i="49"/>
  <c r="C56" i="22"/>
  <c r="C58" s="1"/>
  <c r="D44" i="14" s="1"/>
  <c r="D46" s="1"/>
  <c r="Q5" i="48"/>
  <c r="O13" i="14"/>
  <c r="O15" s="1"/>
  <c r="F22" i="16"/>
  <c r="G39" i="14" s="1"/>
  <c r="G41" s="1"/>
  <c r="N22" i="16"/>
  <c r="O39" i="14" s="1"/>
  <c r="O41" s="1"/>
  <c r="F8" i="48"/>
  <c r="Q4"/>
  <c r="N22"/>
  <c r="R11" i="14"/>
  <c r="J21" i="48"/>
  <c r="R10" i="14"/>
  <c r="K13" l="1"/>
  <c r="K15" s="1"/>
  <c r="K23" s="1"/>
  <c r="K55" s="1"/>
  <c r="N25" i="48"/>
  <c r="N31" s="1"/>
  <c r="N14"/>
  <c r="E8"/>
  <c r="Q8" s="1"/>
  <c r="Q14" s="1"/>
  <c r="J22" i="16"/>
  <c r="K39" i="14" s="1"/>
  <c r="K41" s="1"/>
  <c r="K53" s="1"/>
  <c r="J31" i="48"/>
  <c r="J14"/>
  <c r="R20" i="14"/>
  <c r="N55"/>
  <c r="H55"/>
  <c r="G31" i="48"/>
  <c r="F55" i="14"/>
  <c r="O53"/>
  <c r="G53"/>
  <c r="G55" s="1"/>
  <c r="O69" s="1"/>
  <c r="B9" i="6" s="1"/>
  <c r="B12" s="1"/>
  <c r="M53" i="14"/>
  <c r="M55" s="1"/>
  <c r="C12" i="13"/>
  <c r="D37" i="14" s="1"/>
  <c r="D41" s="1"/>
  <c r="C24" i="48"/>
  <c r="C28"/>
  <c r="C22"/>
  <c r="C25"/>
  <c r="C21"/>
  <c r="F25"/>
  <c r="F31" s="1"/>
  <c r="F14"/>
  <c r="R13" i="14" l="1"/>
  <c r="R15" s="1"/>
  <c r="R23" s="1"/>
  <c r="B20" i="16"/>
  <c r="B22" s="1"/>
  <c r="C39" i="14" s="1"/>
  <c r="R39" s="1"/>
  <c r="B56" i="22"/>
  <c r="B58" s="1"/>
  <c r="C44" i="14" s="1"/>
  <c r="R44" s="1"/>
  <c r="B16" i="22"/>
  <c r="B18" s="1"/>
  <c r="C45" i="14" s="1"/>
  <c r="R45" s="1"/>
  <c r="B17" i="19"/>
  <c r="B19" s="1"/>
  <c r="C35" i="14" s="1"/>
  <c r="R35" s="1"/>
  <c r="B17" i="49"/>
  <c r="B19" s="1"/>
  <c r="C38" i="14" s="1"/>
  <c r="R38" s="1"/>
  <c r="B10" i="9"/>
  <c r="B12" s="1"/>
  <c r="B18" i="15"/>
  <c r="B20" s="1"/>
  <c r="B10" i="17"/>
  <c r="B12" s="1"/>
  <c r="C48" i="14" s="1"/>
  <c r="R48" s="1"/>
  <c r="B10" i="13"/>
  <c r="B12" s="1"/>
  <c r="C37" i="14" s="1"/>
  <c r="R37" s="1"/>
  <c r="B29" i="20"/>
  <c r="B31" s="1"/>
  <c r="C43" i="14" s="1"/>
  <c r="R43" s="1"/>
  <c r="E25" i="48"/>
  <c r="E31" s="1"/>
  <c r="E14"/>
  <c r="D53" i="14"/>
  <c r="D55" s="1"/>
  <c r="C31" i="48"/>
  <c r="O23" i="14"/>
  <c r="O55" s="1"/>
  <c r="C46" l="1"/>
  <c r="C36"/>
  <c r="R36" s="1"/>
  <c r="R41" s="1"/>
  <c r="R46"/>
  <c r="B16" i="48"/>
  <c r="B28" s="1"/>
  <c r="Q28" s="1"/>
  <c r="C41" i="14" l="1"/>
  <c r="C53" s="1"/>
  <c r="C55" s="1"/>
  <c r="B22" i="48"/>
  <c r="Q22" s="1"/>
  <c r="B23"/>
  <c r="Q23" s="1"/>
  <c r="B24"/>
  <c r="Q24" s="1"/>
  <c r="B26"/>
  <c r="Q26" s="1"/>
  <c r="B21"/>
  <c r="Q21" s="1"/>
  <c r="B25"/>
  <c r="Q25" s="1"/>
  <c r="R53" i="14"/>
  <c r="B30" i="48"/>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<sst xmlns="http://schemas.openxmlformats.org/spreadsheetml/2006/main" count="2216" uniqueCount="931">
  <si>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</si>
  <si>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</si>
  <si>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</si>
  <si>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</si>
  <si>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</si>
  <si>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</si>
  <si>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</si>
  <si>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</si>
  <si>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</si>
  <si>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</si>
  <si>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</si>
  <si>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</si>
  <si>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</si>
  <si>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</si>
  <si>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</si>
  <si>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</si>
  <si>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</si>
  <si>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</si>
  <si>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</si>
  <si>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</si>
  <si>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</si>
  <si>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</si>
  <si>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</si>
  <si>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</si>
  <si>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</si>
  <si>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</si>
  <si>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</si>
  <si>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</si>
  <si>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</si>
  <si>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</si>
  <si>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</si>
  <si>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</si>
  <si>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</si>
  <si>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</si>
  <si>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</si>
  <si>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</si>
  <si>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</si>
  <si>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</si>
  <si>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</si>
  <si>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</si>
  <si>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</si>
  <si>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</si>
  <si>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</si>
  <si>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</si>
  <si>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</si>
  <si>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</si>
  <si>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</si>
  <si>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</si>
  <si>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</si>
  <si>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</si>
  <si>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</si>
  <si>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</si>
  <si>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</si>
  <si>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</si>
  <si>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</si>
  <si>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</si>
  <si>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</si>
  <si>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</si>
  <si>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</si>
  <si>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</si>
  <si>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</si>
  <si>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</si>
  <si>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</si>
  <si>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</si>
  <si>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</si>
  <si>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</si>
  <si>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</si>
  <si>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</si>
  <si>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</si>
  <si>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</si>
  <si>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</si>
  <si>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</si>
  <si>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</si>
  <si>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</si>
  <si>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</si>
  <si>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</si>
  <si>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</si>
  <si>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</si>
  <si>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</si>
  <si>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</si>
  <si>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</si>
  <si>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</si>
  <si>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</si>
  <si>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</si>
  <si>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</si>
  <si>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</si>
  <si>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</si>
  <si>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</si>
  <si>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</si>
  <si>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</si>
  <si>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</si>
  <si>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</si>
  <si>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</si>
  <si>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</si>
  <si>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</si>
  <si>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</si>
  <si>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</si>
  <si>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</si>
  <si>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</si>
  <si>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</si>
  <si>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</si>
  <si>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</si>
  <si>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</si>
  <si>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</si>
  <si>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</si>
  <si>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</si>
  <si>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</si>
  <si>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</si>
  <si>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</si>
  <si>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</si>
  <si>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</si>
  <si>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</si>
  <si>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</si>
  <si>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</si>
  <si>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</si>
  <si>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</si>
  <si>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</si>
  <si>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</si>
  <si>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</si>
  <si>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</si>
  <si>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</si>
  <si>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</si>
  <si>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</si>
  <si>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</si>
  <si>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</si>
  <si>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</si>
  <si>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</si>
  <si>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</si>
  <si>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</si>
  <si>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</si>
  <si>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</si>
  <si>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</si>
  <si>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</si>
  <si>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</si>
  <si>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</si>
  <si>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</si>
  <si>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</si>
  <si>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</si>
  <si>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</si>
  <si>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</si>
  <si>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</si>
  <si>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</si>
  <si>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</si>
  <si>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</si>
  <si>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</si>
  <si>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</si>
  <si>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</si>
  <si>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</si>
  <si>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</si>
  <si>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</si>
  <si>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</si>
  <si>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</si>
  <si>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</si>
  <si>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</si>
  <si>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</si>
  <si>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</si>
  <si>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</si>
  <si>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</si>
  <si>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</si>
  <si>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</si>
  <si>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</si>
  <si>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</si>
  <si>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</si>
  <si>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</si>
  <si>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</si>
  <si>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</si>
  <si>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</si>
  <si>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</si>
  <si>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zeevisserij</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</si>
  <si>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</si>
  <si>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</si>
  <si>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</si>
  <si>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</si>
  <si>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</si>
  <si>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</si>
  <si>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</si>
  <si>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</si>
  <si>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</si>
  <si>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</si>
  <si>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</si>
  <si>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</si>
  <si>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</si>
  <si>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</si>
  <si>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</si>
  <si>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</si>
  <si>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</si>
  <si>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</si>
  <si>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</si>
  <si>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</si>
  <si>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</si>
  <si>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</si>
  <si>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</si>
  <si>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</si>
  <si>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</si>
  <si>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</si>
  <si>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</si>
  <si>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</si>
  <si>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</si>
  <si>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</si>
  <si>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</si>
  <si>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</si>
  <si>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</si>
  <si>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</si>
  <si>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</si>
  <si>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</si>
  <si>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</si>
  <si>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</si>
  <si>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</si>
  <si>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</si>
  <si>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</si>
  <si>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</si>
  <si>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</si>
  <si>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</si>
  <si>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</si>
  <si>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</si>
  <si>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</si>
  <si>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</si>
  <si>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</si>
  <si>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</si>
  <si>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</si>
  <si>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</si>
  <si>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</si>
  <si>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</si>
  <si>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</si>
  <si>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</si>
  <si>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</si>
  <si>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</si>
  <si>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</si>
  <si>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</si>
  <si>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</si>
  <si>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</si>
  <si>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</si>
  <si>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</si>
  <si>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</si>
  <si>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</si>
  <si>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</si>
  <si>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</si>
  <si>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</si>
  <si>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</si>
  <si>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</si>
  <si>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</si>
  <si>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</si>
  <si>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</si>
  <si>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</si>
  <si>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</si>
  <si>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</si>
  <si>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</si>
  <si>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</si>
  <si>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</si>
  <si>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</si>
  <si>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</si>
  <si>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</si>
  <si>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</si>
  <si>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</si>
  <si>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</si>
  <si>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</si>
  <si>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</si>
  <si>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</si>
  <si>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</si>
  <si>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</si>
  <si>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</si>
  <si>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</si>
  <si>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</si>
  <si>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</si>
  <si>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</si>
  <si>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</si>
  <si>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</si>
  <si>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</si>
  <si>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</si>
  <si>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</si>
  <si>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</si>
  <si>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</si>
  <si>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</si>
  <si>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</si>
  <si>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</si>
  <si>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</si>
  <si>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</si>
  <si>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</si>
  <si>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</si>
  <si>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</si>
  <si>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</si>
  <si>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</si>
  <si>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</si>
  <si>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</si>
  <si>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</si>
  <si>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</si>
  <si>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</si>
  <si>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</si>
  <si>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</si>
  <si>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</si>
  <si>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</si>
  <si>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</si>
  <si>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</si>
  <si>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</si>
  <si>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</si>
  <si>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</si>
  <si>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</si>
  <si>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</si>
  <si>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</si>
  <si>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</si>
  <si>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</si>
  <si>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</si>
  <si>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</si>
  <si>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</si>
  <si>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</si>
  <si>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</si>
  <si>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</si>
  <si>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</si>
  <si>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</si>
  <si>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</si>
  <si>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</si>
  <si>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</si>
  <si>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</si>
  <si>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</si>
  <si>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</si>
  <si>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</si>
  <si>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</si>
  <si>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</si>
  <si>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</si>
  <si>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</si>
  <si>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</si>
  <si>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</si>
  <si>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</si>
  <si>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</si>
  <si>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</si>
  <si>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</si>
  <si>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</si>
  <si>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</si>
  <si>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</si>
  <si>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</si>
  <si>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</si>
  <si>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</si>
  <si>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</si>
  <si>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</si>
  <si>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</si>
  <si>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</si>
  <si>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</si>
  <si>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</si>
  <si>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</si>
  <si>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</si>
  <si>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</si>
  <si>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</si>
  <si>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</si>
  <si>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</si>
  <si>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</si>
  <si>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</si>
  <si>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</si>
  <si>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</si>
  <si>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</si>
  <si>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</si>
  <si>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</si>
  <si>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</si>
  <si>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</si>
  <si>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</si>
  <si>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</si>
  <si>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</si>
  <si>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</si>
  <si>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</si>
  <si>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</si>
  <si>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</si>
  <si>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</si>
  <si>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</si>
  <si>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</si>
  <si>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</si>
  <si>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</si>
  <si>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</si>
  <si>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</si>
  <si>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</si>
  <si>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</si>
  <si>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</si>
  <si>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</si>
  <si>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</si>
  <si>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</si>
  <si>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</si>
  <si>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</si>
  <si>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</si>
  <si>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</si>
  <si>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</si>
  <si>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</si>
  <si>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</si>
  <si>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</si>
  <si>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</si>
  <si>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</si>
  <si>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</si>
  <si>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</si>
  <si>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</si>
  <si>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</si>
  <si>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</si>
  <si>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</si>
  <si>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</si>
  <si>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</si>
  <si>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</si>
  <si>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</si>
  <si>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</si>
  <si>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</si>
  <si>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</si>
  <si>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</si>
  <si>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</si>
  <si>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</si>
  <si>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</si>
  <si>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</si>
  <si>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</si>
  <si>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</si>
  <si>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</si>
  <si>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</si>
  <si>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</si>
  <si>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</si>
  <si>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</si>
  <si>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</si>
  <si>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</si>
  <si>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</si>
  <si>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</si>
  <si>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</si>
  <si>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</si>
  <si>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</si>
  <si>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</si>
  <si>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</si>
  <si>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</si>
  <si>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</si>
  <si>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</si>
  <si>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</si>
  <si>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</si>
  <si>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</si>
  <si>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</si>
  <si>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</si>
  <si>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</si>
  <si>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</si>
  <si>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</si>
  <si>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</si>
  <si>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</si>
  <si>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</si>
  <si>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</si>
  <si>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</si>
  <si>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</si>
  <si>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</si>
  <si>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</si>
  <si>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</si>
  <si>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</si>
  <si>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</si>
  <si>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</si>
  <si>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</si>
  <si>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</si>
  <si>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</si>
  <si>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</si>
  <si>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</si>
  <si>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</si>
  <si>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</si>
  <si>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</si>
  <si>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</si>
  <si>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</si>
  <si>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</si>
  <si>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</si>
  <si>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</si>
  <si>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</si>
  <si>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</si>
  <si>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</si>
  <si>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</si>
  <si>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</si>
  <si>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</si>
  <si>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</si>
  <si>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</si>
  <si>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</si>
  <si>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</si>
  <si>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</si>
  <si>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</si>
  <si>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</si>
  <si>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</si>
  <si>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</si>
  <si>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</si>
  <si>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</si>
  <si>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</si>
  <si>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</si>
  <si>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</si>
  <si>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</si>
  <si>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</si>
  <si>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</si>
  <si>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</si>
  <si>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</si>
  <si>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</si>
  <si>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</si>
  <si>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</si>
  <si>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</si>
  <si>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</si>
  <si>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</si>
  <si>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</si>
  <si>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</si>
  <si>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</si>
  <si>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</si>
  <si>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</si>
  <si>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</si>
  <si>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</si>
  <si>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</si>
  <si>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</si>
  <si>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</si>
  <si>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</si>
  <si>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</si>
  <si>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</si>
  <si>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</si>
  <si>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</si>
  <si>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</si>
  <si>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</si>
  <si>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</si>
  <si>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</si>
  <si>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</si>
  <si>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</si>
  <si>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</si>
  <si>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</si>
  <si>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</si>
  <si>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</si>
  <si>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</si>
  <si>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</si>
  <si>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</si>
  <si>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</si>
  <si>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</si>
  <si>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</si>
  <si>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</si>
  <si>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</si>
  <si>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</si>
  <si>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</si>
  <si>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</si>
  <si>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</si>
  <si>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</si>
  <si>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</si>
  <si>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</si>
  <si>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</si>
  <si>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</si>
  <si>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</si>
  <si>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</si>
  <si>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</si>
  <si>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</si>
  <si>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</si>
  <si>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</si>
  <si>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</si>
  <si>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</si>
  <si>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</si>
  <si>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</si>
  <si>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</si>
  <si>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</si>
  <si>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</si>
  <si>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</si>
  <si>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</si>
  <si>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</si>
  <si>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</si>
  <si>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</si>
  <si>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</si>
  <si>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</si>
  <si>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</si>
  <si>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</si>
  <si>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</si>
  <si>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</si>
  <si>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</si>
  <si>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</si>
  <si>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</si>
  <si>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</si>
  <si>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</si>
  <si>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</si>
  <si>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</si>
  <si>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</si>
  <si>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</si>
  <si>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</si>
  <si>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</si>
  <si>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</si>
  <si>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</si>
  <si>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</si>
  <si>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</si>
  <si>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</si>
  <si>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</si>
  <si>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</si>
  <si>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</si>
  <si>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</si>
  <si>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</si>
  <si>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</si>
  <si>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</si>
  <si>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</si>
  <si>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</si>
  <si>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</si>
  <si>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</si>
  <si>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</si>
  <si>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</si>
  <si>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</si>
  <si>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</si>
  <si>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</si>
  <si>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</si>
  <si>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</si>
  <si>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</si>
  <si>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</si>
  <si>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</si>
  <si>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</si>
  <si>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</si>
  <si>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</si>
  <si>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</si>
  <si>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</si>
  <si>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</si>
  <si>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</si>
  <si>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</si>
  <si>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</si>
  <si>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</si>
  <si>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</si>
  <si>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</si>
  <si>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</si>
  <si>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</si>
  <si>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</si>
  <si>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</si>
  <si>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</si>
  <si>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</si>
  <si>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</si>
  <si>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</si>
  <si>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</si>
  <si>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</si>
  <si>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</si>
  <si>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</si>
  <si>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</si>
  <si>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</si>
  <si>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</si>
  <si>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</si>
  <si>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</si>
  <si>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</si>
  <si>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</si>
  <si>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</si>
  <si>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</si>
  <si>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</si>
  <si>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</si>
  <si>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</si>
  <si>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</si>
  <si>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</si>
  <si>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</si>
  <si>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</si>
  <si>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</si>
  <si>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</si>
  <si>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</si>
  <si>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</si>
  <si>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</si>
  <si>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</si>
  <si>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</si>
  <si>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</si>
  <si>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</si>
  <si>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</si>
  <si>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</si>
  <si>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</si>
  <si>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</si>
  <si>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</si>
  <si>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</si>
  <si>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</si>
  <si>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</si>
  <si>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</si>
  <si>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</si>
  <si>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</si>
  <si>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</si>
  <si>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</si>
  <si>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</si>
  <si>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</si>
  <si>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</si>
  <si>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</si>
  <si>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</si>
  <si>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</si>
  <si>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</si>
  <si>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</si>
  <si>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</si>
  <si>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</si>
  <si>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</si>
  <si>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</si>
  <si>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</si>
  <si>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</si>
  <si>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</si>
  <si>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</si>
  <si>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</si>
  <si>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</si>
  <si>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</si>
  <si>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</si>
  <si>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</si>
  <si>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</si>
  <si>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</si>
  <si>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</si>
  <si>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</si>
  <si>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</si>
  <si>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</si>
  <si>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</si>
  <si>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</si>
  <si>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</si>
  <si>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</si>
  <si>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</si>
  <si>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</si>
  <si>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</si>
  <si>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</si>
  <si>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</si>
  <si>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</si>
  <si>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</si>
  <si>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</si>
  <si>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</si>
  <si>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</si>
  <si>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</si>
  <si>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</si>
  <si>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</si>
  <si>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</si>
  <si>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</si>
  <si>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</si>
  <si>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</si>
  <si>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</si>
  <si>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</si>
  <si>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</si>
  <si>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</si>
  <si>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</si>
  <si>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</si>
  <si>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</si>
  <si>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</si>
  <si>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</si>
  <si>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</si>
  <si>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</si>
  <si>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</si>
  <si>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</si>
  <si>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</si>
  <si>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</si>
  <si>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</si>
  <si>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</si>
  <si>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</si>
  <si>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</si>
  <si>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</si>
  <si>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</si>
  <si>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</si>
  <si>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</si>
  <si>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</si>
  <si>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</si>
  <si>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</si>
  <si>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</si>
  <si>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</si>
  <si>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</si>
  <si>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</si>
  <si>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</si>
  <si>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</si>
  <si>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</si>
  <si>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</si>
  <si>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</si>
  <si>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</si>
  <si>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</si>
  <si>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</si>
  <si>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</si>
  <si>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</si>
  <si>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</si>
  <si>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</si>
  <si>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</si>
  <si>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</si>
  <si>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</si>
  <si>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</si>
  <si>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</si>
  <si>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</si>
  <si>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</si>
  <si>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</si>
  <si>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</si>
  <si>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</si>
  <si>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</si>
  <si>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</si>
  <si>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</si>
  <si>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</si>
  <si>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</si>
  <si>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</si>
  <si>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</si>
  <si>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</si>
  <si>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</si>
  <si>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</si>
  <si>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</si>
  <si>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</si>
  <si>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</si>
  <si>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</si>
  <si>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</si>
  <si>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</si>
  <si>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</si>
  <si>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</si>
  <si>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</si>
  <si>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</si>
  <si>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</si>
  <si>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</si>
  <si>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</si>
  <si>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</si>
  <si>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</si>
  <si>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</si>
  <si>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</si>
  <si>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</si>
  <si>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</si>
  <si>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</si>
  <si>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</si>
  <si>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</si>
  <si>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</si>
  <si>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</si>
  <si>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</si>
  <si>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</si>
  <si>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</si>
  <si>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</si>
  <si>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</si>
  <si>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</si>
  <si>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</si>
  <si>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</si>
  <si>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</si>
  <si>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</si>
  <si>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</si>
  <si>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</si>
  <si>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</si>
  <si>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</si>
  <si>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</si>
  <si>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</si>
  <si>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</si>
  <si>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</si>
  <si>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</si>
  <si>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</si>
  <si>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</si>
  <si>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</si>
  <si>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</si>
  <si>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</si>
  <si>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</si>
  <si>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</si>
  <si>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</si>
  <si>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</si>
  <si>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</si>
  <si>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</si>
  <si>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</si>
  <si>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</si>
  <si>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</si>
  <si>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</si>
  <si>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</si>
  <si>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</si>
  <si>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</si>
  <si>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</si>
  <si>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</si>
  <si>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</si>
  <si>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</si>
  <si>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</si>
  <si>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</si>
  <si>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</si>
  <si>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</si>
  <si>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</si>
  <si>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</si>
  <si>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</si>
  <si>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</si>
  <si>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</si>
  <si>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</si>
  <si>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</si>
  <si>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</si>
  <si>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</si>
  <si>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</si>
  <si>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</si>
  <si>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</si>
  <si>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</si>
  <si>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</si>
  <si>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</si>
  <si>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</si>
  <si>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</si>
  <si>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</si>
  <si>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</si>
  <si>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</si>
  <si>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</si>
  <si>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</si>
  <si>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</si>
  <si>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</si>
  <si>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</si>
  <si>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</si>
  <si>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</si>
  <si>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</si>
  <si>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</si>
  <si>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</si>
  <si>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</si>
  <si>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</si>
  <si>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</si>
  <si>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</si>
  <si>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</si>
  <si>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</si>
  <si>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</si>
  <si>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</si>
  <si>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</si>
  <si>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</si>
  <si>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</si>
  <si>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</si>
  <si>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</si>
  <si>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</si>
  <si>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</si>
  <si>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</si>
  <si>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</si>
  <si>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</si>
  <si>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</si>
  <si>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</si>
  <si>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</si>
  <si>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</si>
  <si>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</si>
  <si>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</si>
  <si>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</si>
  <si>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</si>
  <si>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</si>
  <si>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</si>
  <si>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</si>
  <si>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</si>
  <si>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</si>
  <si>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</si>
  <si>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</si>
  <si>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</si>
  <si>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</si>
  <si>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</si>
  <si>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</si>
  <si>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</si>
  <si>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</si>
  <si>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</si>
  <si>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</si>
  <si>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</si>
  <si>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</si>
  <si>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</si>
  <si>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</si>
  <si>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</si>
  <si>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</si>
  <si>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</si>
  <si>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</si>
  <si>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</si>
  <si>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</si>
  <si>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</si>
  <si>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</si>
  <si>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</si>
  <si>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</si>
  <si>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</si>
  <si>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</si>
  <si>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</si>
  <si>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</si>
  <si>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</si>
  <si>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</si>
  <si>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</si>
  <si>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versie: 2011_13</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</si>
  <si>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</si>
  <si>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72038</t>
  </si>
  <si>
    <t>HECHTEL-EKSEL</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</si>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</sst>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6">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bottom style="thin">
        <color indexed="64"/>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indexed="64"/>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6" fillId="0" borderId="187" applyNumberFormat="0" applyFill="0" applyAlignment="0" applyProtection="0"/>
    <xf numFmtId="0" fontId="107" fillId="26" borderId="0" applyNumberFormat="0" applyBorder="0" applyAlignment="0" applyProtection="0"/>
    <xf numFmtId="0" fontId="108" fillId="27" borderId="0" applyNumberFormat="0" applyBorder="0" applyAlignment="0" applyProtection="0"/>
    <xf numFmtId="0" fontId="109" fillId="28" borderId="0" applyNumberFormat="0" applyBorder="0" applyAlignment="0" applyProtection="0"/>
    <xf numFmtId="0" fontId="110" fillId="29" borderId="188" applyNumberFormat="0" applyAlignment="0" applyProtection="0"/>
    <xf numFmtId="0" fontId="111" fillId="30" borderId="189" applyNumberFormat="0" applyAlignment="0" applyProtection="0"/>
    <xf numFmtId="0" fontId="112" fillId="30" borderId="188" applyNumberFormat="0" applyAlignment="0" applyProtection="0"/>
    <xf numFmtId="0" fontId="113" fillId="0" borderId="190" applyNumberFormat="0" applyFill="0" applyAlignment="0" applyProtection="0"/>
    <xf numFmtId="0" fontId="38"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4" fillId="0" borderId="0" applyNumberFormat="0" applyFill="0" applyBorder="0" applyAlignment="0" applyProtection="0"/>
    <xf numFmtId="0" fontId="6" fillId="0" borderId="193"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5" fillId="0" borderId="0"/>
    <xf numFmtId="0" fontId="1" fillId="0" borderId="0" applyNumberFormat="0" applyFill="0" applyBorder="0" applyAlignment="0" applyProtection="0"/>
    <xf numFmtId="0" fontId="116" fillId="0" borderId="187" applyNumberFormat="0" applyFill="0" applyAlignment="0" applyProtection="0"/>
    <xf numFmtId="0" fontId="117" fillId="28" borderId="0" applyNumberFormat="0" applyBorder="0" applyAlignment="0" applyProtection="0"/>
    <xf numFmtId="0" fontId="115" fillId="34" borderId="0" applyNumberFormat="0" applyBorder="0" applyAlignment="0" applyProtection="0"/>
    <xf numFmtId="9" fontId="115" fillId="0" borderId="0" applyFont="0" applyFill="0" applyBorder="0" applyAlignment="0" applyProtection="0"/>
    <xf numFmtId="0" fontId="51"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94" applyNumberFormat="0" applyFont="0" applyFill="0" applyBorder="0" applyProtection="0">
      <alignment horizontal="left" vertical="center" indent="2"/>
    </xf>
    <xf numFmtId="49" fontId="25" fillId="0" borderId="195" applyNumberFormat="0" applyFont="0" applyFill="0" applyBorder="0" applyProtection="0">
      <alignment horizontal="left" vertical="center" indent="5"/>
    </xf>
    <xf numFmtId="4" fontId="118" fillId="0" borderId="13" applyFill="0" applyBorder="0" applyProtection="0">
      <alignment horizontal="right" vertical="center"/>
    </xf>
    <xf numFmtId="0" fontId="119"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5" fillId="0" borderId="194" applyFill="0" applyBorder="0" applyProtection="0">
      <alignment horizontal="right" vertical="center"/>
    </xf>
    <xf numFmtId="49" fontId="118" fillId="0" borderId="194" applyNumberFormat="0" applyFill="0" applyBorder="0" applyProtection="0">
      <alignment horizontal="left" vertical="center"/>
    </xf>
    <xf numFmtId="0" fontId="25" fillId="0" borderId="194" applyNumberFormat="0" applyFill="0" applyAlignment="0" applyProtection="0"/>
    <xf numFmtId="0" fontId="120" fillId="58" borderId="0" applyNumberFormat="0" applyFont="0" applyBorder="0" applyAlignment="0" applyProtection="0"/>
    <xf numFmtId="4" fontId="9" fillId="0" borderId="0"/>
    <xf numFmtId="177" fontId="25" fillId="59" borderId="194"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94">
      <alignment vertical="center"/>
    </xf>
    <xf numFmtId="170" fontId="16" fillId="0" borderId="194">
      <alignment vertical="center"/>
    </xf>
    <xf numFmtId="170" fontId="16" fillId="0" borderId="194">
      <alignment vertical="center"/>
    </xf>
    <xf numFmtId="173" fontId="22" fillId="8" borderId="194">
      <alignment horizontal="right" vertical="center"/>
    </xf>
    <xf numFmtId="173" fontId="22" fillId="8" borderId="194">
      <alignment horizontal="right" vertical="center"/>
    </xf>
    <xf numFmtId="173" fontId="22" fillId="8"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0" fontId="4" fillId="0" borderId="0"/>
    <xf numFmtId="172" fontId="33" fillId="1" borderId="199"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66">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9"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4"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1"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0" fillId="0" borderId="117" xfId="0" applyBorder="1"/>
    <xf numFmtId="172" fontId="46" fillId="0" borderId="81" xfId="0" applyFont="1" applyFill="1" applyBorder="1" applyAlignment="1">
      <alignment horizontal="justify" wrapText="1"/>
    </xf>
    <xf numFmtId="172" fontId="77" fillId="0" borderId="117" xfId="0" applyFont="1" applyFill="1" applyBorder="1" applyAlignment="1">
      <alignment horizontal="left" vertical="center" wrapText="1"/>
    </xf>
    <xf numFmtId="172" fontId="77" fillId="0" borderId="118" xfId="0" applyFont="1" applyFill="1" applyBorder="1" applyAlignment="1">
      <alignment horizontal="left" vertical="center" wrapText="1"/>
    </xf>
    <xf numFmtId="172" fontId="52" fillId="12" borderId="104" xfId="0" applyFont="1" applyFill="1" applyBorder="1" applyAlignment="1">
      <alignment horizontal="left" vertical="center" wrapText="1"/>
    </xf>
    <xf numFmtId="172" fontId="52" fillId="12" borderId="62"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2" xfId="0" applyBorder="1"/>
    <xf numFmtId="172" fontId="0" fillId="0" borderId="18" xfId="0" applyBorder="1"/>
    <xf numFmtId="172" fontId="75" fillId="12" borderId="87"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5"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2" fillId="0" borderId="113" xfId="0" applyFont="1" applyBorder="1" applyAlignment="1">
      <alignment vertical="top" wrapText="1"/>
    </xf>
    <xf numFmtId="172" fontId="22" fillId="0" borderId="116" xfId="0" applyFont="1" applyBorder="1" applyAlignment="1">
      <alignment vertical="top"/>
    </xf>
    <xf numFmtId="172" fontId="22" fillId="0" borderId="122" xfId="0" applyFont="1" applyBorder="1"/>
    <xf numFmtId="172" fontId="22" fillId="0" borderId="124" xfId="0" applyFont="1" applyBorder="1"/>
    <xf numFmtId="172" fontId="22" fillId="0" borderId="121"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4" xfId="0" applyFont="1" applyBorder="1"/>
    <xf numFmtId="172" fontId="71" fillId="0" borderId="81" xfId="148" applyBorder="1" applyAlignment="1" applyProtection="1"/>
    <xf numFmtId="172" fontId="71"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0" fillId="0" borderId="135" xfId="0" applyBorder="1"/>
    <xf numFmtId="172" fontId="0" fillId="0" borderId="136" xfId="0" applyBorder="1"/>
    <xf numFmtId="172" fontId="22" fillId="0" borderId="0" xfId="0" applyFont="1" applyBorder="1" applyAlignment="1">
      <alignment vertical="top" wrapText="1"/>
    </xf>
    <xf numFmtId="172" fontId="22" fillId="0" borderId="81" xfId="0" applyFont="1" applyBorder="1" applyAlignment="1">
      <alignment vertical="top"/>
    </xf>
    <xf numFmtId="3" fontId="0" fillId="13" borderId="15" xfId="0" quotePrefix="1" applyNumberFormat="1" applyFill="1" applyBorder="1" applyAlignment="1">
      <alignment horizontal="center"/>
    </xf>
    <xf numFmtId="172" fontId="22"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39"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1" fillId="0" borderId="18" xfId="148" applyBorder="1" applyAlignment="1" applyProtection="1"/>
    <xf numFmtId="172" fontId="85" fillId="0" borderId="139" xfId="0" applyFont="1" applyBorder="1"/>
    <xf numFmtId="172" fontId="5" fillId="0" borderId="62"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0"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4" fillId="0" borderId="8" xfId="0" applyFont="1" applyBorder="1"/>
    <xf numFmtId="172" fontId="0" fillId="0" borderId="143"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4" fillId="0" borderId="138" xfId="0" applyFont="1" applyFill="1" applyBorder="1"/>
    <xf numFmtId="172" fontId="44"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4"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39"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4"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49"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2" fillId="0" borderId="155" xfId="0" applyFont="1" applyBorder="1"/>
    <xf numFmtId="172" fontId="22" fillId="0" borderId="155" xfId="0" applyFont="1" applyFill="1" applyBorder="1"/>
    <xf numFmtId="172" fontId="22" fillId="0" borderId="0" xfId="0" applyFont="1" applyFill="1" applyBorder="1"/>
    <xf numFmtId="9" fontId="22" fillId="0" borderId="0" xfId="0" applyNumberFormat="1" applyFont="1" applyBorder="1"/>
    <xf numFmtId="172" fontId="47" fillId="0" borderId="10" xfId="0" applyFont="1" applyBorder="1"/>
    <xf numFmtId="9" fontId="47" fillId="0" borderId="12" xfId="0" applyNumberFormat="1" applyFont="1" applyBorder="1"/>
    <xf numFmtId="172" fontId="22" fillId="0" borderId="155" xfId="1" applyFont="1" applyFill="1" applyBorder="1"/>
    <xf numFmtId="172" fontId="22" fillId="0" borderId="8" xfId="0" applyFont="1" applyFill="1" applyBorder="1"/>
    <xf numFmtId="172" fontId="22" fillId="0" borderId="152" xfId="1" applyFont="1" applyBorder="1"/>
    <xf numFmtId="172" fontId="22" fillId="0" borderId="154"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9"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2"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3" xfId="0" applyNumberFormat="1" applyFont="1" applyFill="1" applyBorder="1"/>
    <xf numFmtId="0" fontId="22" fillId="23" borderId="170" xfId="0" applyNumberFormat="1" applyFont="1" applyFill="1" applyBorder="1"/>
    <xf numFmtId="0" fontId="0" fillId="0" borderId="114" xfId="0" applyNumberFormat="1" applyBorder="1"/>
    <xf numFmtId="0" fontId="79" fillId="0" borderId="0" xfId="0" applyNumberFormat="1" applyFont="1"/>
    <xf numFmtId="0" fontId="22" fillId="23" borderId="102" xfId="0" applyNumberFormat="1" applyFont="1" applyFill="1" applyBorder="1"/>
    <xf numFmtId="0" fontId="0" fillId="0" borderId="0" xfId="0" applyNumberFormat="1" applyBorder="1"/>
    <xf numFmtId="0" fontId="22" fillId="23" borderId="0" xfId="0" applyNumberFormat="1" applyFont="1" applyFill="1" applyBorder="1"/>
    <xf numFmtId="0" fontId="44" fillId="23" borderId="0" xfId="0" applyNumberFormat="1" applyFont="1" applyFill="1" applyBorder="1"/>
    <xf numFmtId="0" fontId="22" fillId="23" borderId="81" xfId="0" applyNumberFormat="1" applyFont="1" applyFill="1" applyBorder="1"/>
    <xf numFmtId="0" fontId="22" fillId="23" borderId="132" xfId="0" applyNumberFormat="1" applyFont="1" applyFill="1" applyBorder="1"/>
    <xf numFmtId="0" fontId="44" fillId="23" borderId="119" xfId="0" applyNumberFormat="1" applyFont="1" applyFill="1" applyBorder="1"/>
    <xf numFmtId="0" fontId="44"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4" fillId="23" borderId="19" xfId="0" applyNumberFormat="1" applyFont="1" applyFill="1" applyBorder="1"/>
    <xf numFmtId="0" fontId="37" fillId="23" borderId="87"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wrapText="1"/>
    </xf>
    <xf numFmtId="0" fontId="71" fillId="0" borderId="115" xfId="148" applyNumberFormat="1" applyBorder="1" applyAlignment="1" applyProtection="1"/>
    <xf numFmtId="0" fontId="0" fillId="0" borderId="113" xfId="0" applyNumberFormat="1" applyBorder="1"/>
    <xf numFmtId="0" fontId="0" fillId="0" borderId="116" xfId="0" applyNumberFormat="1" applyBorder="1"/>
    <xf numFmtId="0" fontId="71" fillId="0" borderId="117" xfId="148" applyNumberFormat="1" applyBorder="1" applyAlignment="1" applyProtection="1"/>
    <xf numFmtId="0" fontId="0" fillId="0" borderId="118" xfId="0" applyNumberFormat="1" applyBorder="1"/>
    <xf numFmtId="0" fontId="71" fillId="0" borderId="115" xfId="148" quotePrefix="1" applyNumberFormat="1" applyBorder="1" applyAlignment="1" applyProtection="1"/>
    <xf numFmtId="0" fontId="0" fillId="0" borderId="117" xfId="0" applyNumberFormat="1" applyBorder="1"/>
    <xf numFmtId="0" fontId="22" fillId="0" borderId="0" xfId="0" applyNumberFormat="1" applyFont="1" applyBorder="1"/>
    <xf numFmtId="0" fontId="22" fillId="0" borderId="81"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7" fillId="0" borderId="103" xfId="0" applyNumberFormat="1" applyFont="1" applyFill="1" applyBorder="1" applyAlignment="1">
      <alignment horizontal="left" vertical="center" wrapText="1"/>
    </xf>
    <xf numFmtId="0" fontId="78" fillId="0" borderId="53" xfId="0" applyNumberFormat="1" applyFont="1" applyFill="1" applyBorder="1" applyAlignment="1">
      <alignment horizontal="left" vertical="center" wrapText="1"/>
    </xf>
    <xf numFmtId="0" fontId="78" fillId="0" borderId="102"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3" xfId="0" applyNumberFormat="1" applyFont="1" applyFill="1" applyBorder="1" applyAlignment="1">
      <alignment horizontal="left" vertical="center"/>
    </xf>
    <xf numFmtId="0" fontId="81" fillId="12" borderId="53" xfId="0" applyNumberFormat="1" applyFont="1" applyFill="1" applyBorder="1" applyAlignment="1">
      <alignment horizontal="left" vertical="center"/>
    </xf>
    <xf numFmtId="0" fontId="81" fillId="12" borderId="102" xfId="0" applyNumberFormat="1" applyFont="1" applyFill="1" applyBorder="1" applyAlignment="1">
      <alignment horizontal="left" vertical="center" wrapText="1"/>
    </xf>
    <xf numFmtId="0" fontId="22" fillId="15" borderId="115"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22"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5" fillId="12" borderId="87"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1"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7" fillId="12" borderId="37" xfId="0" applyNumberFormat="1" applyFont="1" applyFill="1" applyBorder="1" applyAlignment="1">
      <alignment horizontal="center" vertical="center"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3"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4"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4"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4"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0" fontId="37" fillId="12" borderId="157"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172" fontId="39" fillId="0" borderId="78"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172" fontId="37" fillId="19" borderId="78"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5" xfId="0" applyNumberFormat="1" applyFont="1" applyFill="1" applyBorder="1" applyAlignment="1" applyProtection="1">
      <alignment horizontal="right" vertical="center"/>
    </xf>
    <xf numFmtId="3" fontId="41" fillId="0" borderId="15" xfId="0" applyNumberFormat="1" applyFont="1" applyFill="1" applyBorder="1" applyAlignment="1" applyProtection="1">
      <alignment horizontal="right" vertical="center"/>
    </xf>
    <xf numFmtId="3" fontId="30" fillId="0" borderId="15" xfId="0" applyNumberFormat="1" applyFont="1" applyFill="1" applyBorder="1" applyAlignment="1" applyProtection="1">
      <alignment horizontal="right" vertical="center" wrapText="1"/>
    </xf>
    <xf numFmtId="3" fontId="41" fillId="0" borderId="95"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37" fillId="3" borderId="5" xfId="0" applyNumberFormat="1" applyFont="1" applyFill="1" applyBorder="1" applyAlignment="1" applyProtection="1">
      <alignment horizontal="right" vertical="center"/>
    </xf>
    <xf numFmtId="3" fontId="41" fillId="0" borderId="86"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6"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3" fontId="41" fillId="0" borderId="97" xfId="0" applyNumberFormat="1" applyFont="1" applyFill="1" applyBorder="1" applyAlignment="1" applyProtection="1">
      <alignment horizontal="right" vertical="center"/>
    </xf>
    <xf numFmtId="172" fontId="0" fillId="0" borderId="67"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6"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37" fillId="12" borderId="88" xfId="0" applyNumberFormat="1" applyFont="1" applyFill="1" applyBorder="1" applyAlignment="1" applyProtection="1">
      <alignment horizontal="center" vertical="center" wrapText="1"/>
    </xf>
    <xf numFmtId="172" fontId="39" fillId="0" borderId="78" xfId="0" applyFont="1" applyBorder="1" applyAlignment="1" applyProtection="1">
      <alignment horizontal="center" vertical="center"/>
    </xf>
    <xf numFmtId="3" fontId="37" fillId="3" borderId="78"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9" xfId="0" applyNumberFormat="1" applyFont="1" applyFill="1" applyBorder="1" applyAlignment="1" applyProtection="1">
      <alignment horizontal="right" vertical="center"/>
    </xf>
    <xf numFmtId="3" fontId="41" fillId="0" borderId="89" xfId="0" applyNumberFormat="1" applyFont="1" applyFill="1" applyBorder="1" applyAlignment="1" applyProtection="1">
      <alignment horizontal="right" vertical="center"/>
    </xf>
    <xf numFmtId="3" fontId="37" fillId="19" borderId="78" xfId="0" applyNumberFormat="1"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5" fillId="0" borderId="0" xfId="0" applyFont="1" applyBorder="1" applyProtection="1"/>
    <xf numFmtId="172" fontId="0" fillId="0" borderId="0" xfId="0" applyBorder="1" applyProtection="1"/>
    <xf numFmtId="172" fontId="44"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3" xfId="0" applyFont="1" applyFill="1" applyBorder="1" applyAlignment="1" applyProtection="1">
      <alignment vertical="top" wrapText="1"/>
      <protection locked="0"/>
    </xf>
    <xf numFmtId="3" fontId="38" fillId="22" borderId="53" xfId="0" applyNumberFormat="1" applyFont="1" applyFill="1" applyBorder="1" applyAlignment="1" applyProtection="1">
      <alignment vertical="top" wrapText="1"/>
      <protection locked="0"/>
    </xf>
    <xf numFmtId="172" fontId="38" fillId="22" borderId="102"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1"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2"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2" fillId="0" borderId="114" xfId="0" applyNumberFormat="1" applyFont="1" applyFill="1" applyBorder="1" applyAlignment="1">
      <alignment horizontal="left" vertical="top" wrapText="1"/>
    </xf>
    <xf numFmtId="2" fontId="22"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2"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2" xfId="0" applyNumberFormat="1" applyFont="1" applyBorder="1"/>
    <xf numFmtId="0" fontId="102" fillId="0" borderId="114" xfId="0" applyNumberFormat="1" applyFont="1" applyFill="1" applyBorder="1" applyAlignment="1">
      <alignment horizontal="right" vertical="top" wrapText="1"/>
    </xf>
    <xf numFmtId="0" fontId="102"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61" xfId="0" applyNumberFormat="1" applyFont="1" applyFill="1" applyBorder="1" applyAlignment="1" applyProtection="1">
      <alignment horizontal="center" vertical="center"/>
      <protection locked="0"/>
    </xf>
    <xf numFmtId="1" fontId="60" fillId="0" borderId="107"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9" borderId="50" xfId="0" applyNumberFormat="1" applyFont="1" applyFill="1" applyBorder="1" applyAlignment="1" applyProtection="1">
      <alignment horizontal="center" vertical="center"/>
      <protection locked="0"/>
    </xf>
    <xf numFmtId="1" fontId="60" fillId="19" borderId="49" xfId="0" applyNumberFormat="1" applyFont="1" applyFill="1" applyBorder="1" applyAlignment="1" applyProtection="1">
      <alignment horizontal="center" vertical="center"/>
      <protection locked="0"/>
    </xf>
    <xf numFmtId="1" fontId="60" fillId="19" borderId="108" xfId="0" applyNumberFormat="1" applyFont="1" applyFill="1" applyBorder="1" applyAlignment="1" applyProtection="1">
      <alignment horizontal="center" vertical="center"/>
      <protection locked="0"/>
    </xf>
    <xf numFmtId="1" fontId="60" fillId="18" borderId="109" xfId="0" applyNumberFormat="1" applyFont="1" applyFill="1" applyBorder="1" applyAlignment="1">
      <alignment horizontal="center" vertical="center"/>
    </xf>
    <xf numFmtId="1" fontId="60" fillId="0" borderId="4" xfId="0" applyNumberFormat="1" applyFont="1" applyFill="1" applyBorder="1" applyAlignment="1" applyProtection="1">
      <alignment horizontal="center" vertical="center"/>
      <protection locked="0"/>
    </xf>
    <xf numFmtId="1" fontId="60" fillId="0" borderId="5" xfId="0" applyNumberFormat="1" applyFont="1" applyFill="1" applyBorder="1" applyAlignment="1" applyProtection="1">
      <alignment horizontal="center" vertical="center"/>
      <protection locked="0"/>
    </xf>
    <xf numFmtId="1" fontId="60" fillId="0" borderId="167" xfId="0" applyNumberFormat="1" applyFont="1" applyFill="1" applyBorder="1" applyAlignment="1" applyProtection="1">
      <alignment horizontal="center" vertical="center"/>
      <protection locked="0"/>
    </xf>
    <xf numFmtId="1" fontId="57" fillId="12" borderId="104"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1" fontId="60" fillId="19" borderId="105" xfId="0" applyNumberFormat="1" applyFont="1" applyFill="1" applyBorder="1" applyAlignment="1" applyProtection="1">
      <alignment horizontal="center" vertical="center"/>
      <protection locked="0"/>
    </xf>
    <xf numFmtId="1" fontId="60" fillId="19" borderId="166" xfId="0" applyNumberFormat="1" applyFont="1" applyFill="1" applyBorder="1" applyAlignment="1" applyProtection="1">
      <alignment horizontal="center" vertical="center"/>
      <protection locked="0"/>
    </xf>
    <xf numFmtId="1" fontId="52" fillId="12" borderId="110" xfId="0" applyNumberFormat="1" applyFont="1" applyFill="1" applyBorder="1" applyAlignment="1">
      <alignment vertical="center"/>
    </xf>
    <xf numFmtId="1" fontId="57" fillId="19" borderId="111" xfId="0" applyNumberFormat="1" applyFont="1" applyFill="1" applyBorder="1" applyAlignment="1" applyProtection="1">
      <alignment horizontal="center" vertical="center"/>
      <protection locked="0"/>
    </xf>
    <xf numFmtId="1" fontId="57" fillId="19" borderId="70" xfId="0" applyNumberFormat="1" applyFont="1" applyFill="1" applyBorder="1" applyAlignment="1" applyProtection="1">
      <alignment horizontal="center" vertical="center"/>
      <protection locked="0"/>
    </xf>
    <xf numFmtId="1" fontId="57" fillId="19" borderId="112"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8"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8"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8" borderId="60" xfId="0" applyNumberFormat="1" applyFont="1" applyFill="1" applyBorder="1" applyAlignment="1">
      <alignment horizontal="center" vertical="center"/>
    </xf>
    <xf numFmtId="1" fontId="57" fillId="18" borderId="61"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7" xfId="0" applyNumberFormat="1" applyFont="1" applyFill="1" applyBorder="1" applyAlignment="1">
      <alignment horizontal="center" vertical="center"/>
    </xf>
    <xf numFmtId="1" fontId="57" fillId="18" borderId="162" xfId="0" applyNumberFormat="1" applyFont="1" applyFill="1" applyBorder="1" applyAlignment="1">
      <alignment horizontal="center" vertical="center"/>
    </xf>
    <xf numFmtId="1" fontId="57" fillId="18" borderId="51"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19" borderId="164" xfId="0" applyNumberFormat="1" applyFont="1" applyFill="1" applyBorder="1" applyAlignment="1" applyProtection="1">
      <alignment horizontal="center" vertical="center"/>
      <protection locked="0"/>
    </xf>
    <xf numFmtId="1" fontId="60" fillId="19" borderId="87" xfId="0" applyNumberFormat="1" applyFont="1" applyFill="1" applyBorder="1" applyAlignment="1" applyProtection="1">
      <alignment horizontal="center" vertical="center"/>
      <protection locked="0"/>
    </xf>
    <xf numFmtId="1" fontId="60" fillId="19" borderId="165" xfId="0" applyNumberFormat="1" applyFont="1" applyFill="1" applyBorder="1" applyAlignment="1" applyProtection="1">
      <alignment horizontal="center" vertical="center"/>
      <protection locked="0"/>
    </xf>
    <xf numFmtId="1" fontId="57" fillId="18" borderId="63" xfId="0" applyNumberFormat="1" applyFont="1" applyFill="1" applyBorder="1" applyAlignment="1">
      <alignment horizontal="center" vertical="center"/>
    </xf>
    <xf numFmtId="1" fontId="57" fillId="12" borderId="163" xfId="0" applyNumberFormat="1" applyFont="1" applyFill="1" applyBorder="1" applyAlignment="1"/>
    <xf numFmtId="1" fontId="58" fillId="18" borderId="54" xfId="0" applyNumberFormat="1" applyFont="1" applyFill="1" applyBorder="1" applyAlignment="1">
      <alignment vertical="center"/>
    </xf>
    <xf numFmtId="1" fontId="57" fillId="18" borderId="65"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4" xfId="0" applyNumberFormat="1" applyFont="1" applyFill="1" applyBorder="1" applyAlignment="1" applyProtection="1">
      <alignment horizontal="center" vertical="center"/>
      <protection locked="0"/>
    </xf>
    <xf numFmtId="1" fontId="57" fillId="19" borderId="75" xfId="0" applyNumberFormat="1" applyFont="1" applyFill="1" applyBorder="1" applyAlignment="1" applyProtection="1">
      <alignment horizontal="center" vertical="center"/>
      <protection locked="0"/>
    </xf>
    <xf numFmtId="1" fontId="57" fillId="19" borderId="168" xfId="0" applyNumberFormat="1" applyFont="1" applyFill="1" applyBorder="1" applyAlignment="1" applyProtection="1">
      <alignment horizontal="center" vertical="center"/>
      <protection locked="0"/>
    </xf>
    <xf numFmtId="1" fontId="57" fillId="19" borderId="169"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justify"/>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5" fillId="0" borderId="0" xfId="0" applyNumberFormat="1" applyFont="1" applyAlignment="1">
      <alignment horizontal="center"/>
    </xf>
    <xf numFmtId="1" fontId="57" fillId="12" borderId="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57" fillId="12" borderId="74"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57" xfId="0" applyNumberFormat="1" applyFont="1" applyFill="1" applyBorder="1" applyAlignment="1">
      <alignment horizontal="center" vertical="center" wrapText="1"/>
    </xf>
    <xf numFmtId="1" fontId="57" fillId="12" borderId="75"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67" fillId="0" borderId="78" xfId="0" applyNumberFormat="1" applyFont="1" applyFill="1" applyBorder="1" applyAlignment="1">
      <alignment horizontal="center"/>
    </xf>
    <xf numFmtId="1" fontId="57"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7"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6"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7" xfId="0" applyNumberFormat="1" applyFont="1" applyBorder="1" applyAlignment="1">
      <alignment horizontal="justify"/>
    </xf>
    <xf numFmtId="1" fontId="57"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49" fillId="0" borderId="0" xfId="0" applyNumberFormat="1" applyFont="1" applyFill="1" applyBorder="1" applyAlignment="1">
      <alignment horizontal="center" vertical="top" wrapText="1"/>
    </xf>
    <xf numFmtId="1" fontId="57" fillId="12" borderId="36"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88" xfId="0" applyNumberFormat="1" applyFont="1" applyFill="1" applyBorder="1" applyAlignment="1">
      <alignment horizontal="center" vertical="center" wrapText="1"/>
    </xf>
    <xf numFmtId="1" fontId="67" fillId="0" borderId="78" xfId="0" applyNumberFormat="1" applyFont="1" applyBorder="1" applyAlignment="1">
      <alignment horizontal="center" vertical="center"/>
    </xf>
    <xf numFmtId="1" fontId="57" fillId="0" borderId="78"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49" fillId="0" borderId="0" xfId="0" applyNumberFormat="1" applyFont="1" applyBorder="1" applyAlignment="1">
      <alignment horizontal="center" vertical="center" wrapText="1"/>
    </xf>
    <xf numFmtId="1" fontId="57" fillId="0" borderId="35" xfId="0" applyNumberFormat="1" applyFont="1" applyFill="1" applyBorder="1" applyAlignment="1">
      <alignment horizontal="center" vertical="center"/>
    </xf>
    <xf numFmtId="1" fontId="70" fillId="0" borderId="57" xfId="0" applyNumberFormat="1" applyFont="1" applyBorder="1" applyAlignment="1">
      <alignment horizontal="justify"/>
    </xf>
    <xf numFmtId="1" fontId="70" fillId="0" borderId="57" xfId="0" applyNumberFormat="1" applyFont="1" applyBorder="1" applyAlignment="1">
      <alignment horizontal="center"/>
    </xf>
    <xf numFmtId="1" fontId="57" fillId="0" borderId="57" xfId="0" applyNumberFormat="1" applyFont="1" applyBorder="1" applyAlignment="1">
      <alignment horizontal="center"/>
    </xf>
    <xf numFmtId="1" fontId="27" fillId="0" borderId="57" xfId="0" applyNumberFormat="1" applyFont="1" applyBorder="1" applyAlignment="1">
      <alignment horizontal="center"/>
    </xf>
    <xf numFmtId="0" fontId="0" fillId="0" borderId="0" xfId="0" applyNumberFormat="1" applyFill="1" applyBorder="1"/>
    <xf numFmtId="1" fontId="60" fillId="0" borderId="85" xfId="0" applyNumberFormat="1" applyFont="1" applyFill="1" applyBorder="1" applyAlignment="1" applyProtection="1">
      <alignment horizontal="center" vertical="center"/>
      <protection locked="0"/>
    </xf>
    <xf numFmtId="1" fontId="60" fillId="0" borderId="15"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60" fillId="19" borderId="56"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7" xfId="0" applyNumberFormat="1" applyFont="1" applyFill="1" applyBorder="1" applyAlignment="1">
      <alignment horizontal="left" vertical="center" wrapText="1"/>
    </xf>
    <xf numFmtId="1" fontId="57" fillId="12" borderId="73"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172" fontId="103" fillId="0" borderId="0" xfId="0" applyFont="1"/>
    <xf numFmtId="0" fontId="22" fillId="24" borderId="0" xfId="0" quotePrefix="1" applyNumberFormat="1" applyFont="1" applyFill="1" applyAlignment="1">
      <alignment horizontal="left"/>
    </xf>
    <xf numFmtId="3" fontId="52" fillId="12" borderId="53"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73" xfId="0" applyNumberFormat="1" applyFont="1" applyFill="1" applyBorder="1" applyAlignment="1">
      <alignment horizontal="center" vertical="center" wrapText="1"/>
    </xf>
    <xf numFmtId="1" fontId="58" fillId="18" borderId="53" xfId="0" applyNumberFormat="1" applyFont="1" applyFill="1" applyBorder="1" applyAlignment="1">
      <alignment vertical="center"/>
    </xf>
    <xf numFmtId="1" fontId="52" fillId="12" borderId="71" xfId="0" applyNumberFormat="1" applyFont="1" applyFill="1" applyBorder="1" applyAlignment="1">
      <alignment vertical="center"/>
    </xf>
    <xf numFmtId="1" fontId="60" fillId="0" borderId="14" xfId="0" applyNumberFormat="1" applyFont="1" applyFill="1" applyBorder="1" applyAlignment="1"/>
    <xf numFmtId="1" fontId="57" fillId="12" borderId="87"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80" xfId="0" applyNumberFormat="1" applyFont="1" applyFill="1" applyBorder="1" applyAlignment="1"/>
    <xf numFmtId="1" fontId="60" fillId="0" borderId="92" xfId="0" applyNumberFormat="1" applyFont="1" applyFill="1" applyBorder="1" applyAlignment="1">
      <alignment vertical="center"/>
    </xf>
    <xf numFmtId="1" fontId="60" fillId="0" borderId="92" xfId="0" applyNumberFormat="1" applyFont="1" applyFill="1" applyBorder="1" applyAlignment="1">
      <alignment vertical="center" wrapText="1"/>
    </xf>
    <xf numFmtId="1" fontId="58" fillId="18" borderId="103" xfId="0" applyNumberFormat="1" applyFont="1" applyFill="1" applyBorder="1" applyAlignment="1">
      <alignment vertical="center"/>
    </xf>
    <xf numFmtId="1" fontId="60" fillId="19" borderId="75"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74"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97" xfId="0" applyNumberFormat="1" applyFont="1" applyFill="1" applyBorder="1" applyAlignment="1">
      <alignment vertical="center"/>
    </xf>
    <xf numFmtId="1" fontId="60" fillId="0" borderId="55" xfId="0" applyNumberFormat="1" applyFont="1" applyFill="1" applyBorder="1" applyAlignment="1">
      <alignment vertical="center"/>
    </xf>
    <xf numFmtId="1" fontId="60" fillId="0" borderId="176" xfId="0" applyNumberFormat="1" applyFont="1" applyFill="1" applyBorder="1" applyAlignment="1">
      <alignment vertical="center"/>
    </xf>
    <xf numFmtId="1" fontId="52" fillId="12" borderId="57"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2" xfId="0" applyNumberFormat="1" applyFont="1" applyFill="1" applyBorder="1" applyAlignment="1"/>
    <xf numFmtId="1" fontId="57" fillId="12" borderId="19" xfId="0" applyNumberFormat="1" applyFont="1" applyFill="1" applyBorder="1" applyAlignment="1"/>
    <xf numFmtId="1" fontId="58" fillId="18" borderId="52" xfId="0" applyNumberFormat="1" applyFont="1" applyFill="1" applyBorder="1" applyAlignment="1">
      <alignment vertical="center"/>
    </xf>
    <xf numFmtId="1" fontId="60" fillId="0" borderId="66" xfId="0" applyNumberFormat="1" applyFont="1" applyFill="1" applyBorder="1" applyAlignment="1"/>
    <xf numFmtId="1" fontId="60" fillId="20" borderId="82" xfId="0" applyNumberFormat="1" applyFont="1" applyFill="1" applyBorder="1" applyAlignment="1">
      <alignment vertical="center"/>
    </xf>
    <xf numFmtId="1" fontId="60" fillId="0" borderId="82" xfId="0" applyNumberFormat="1" applyFont="1" applyFill="1" applyBorder="1" applyAlignment="1">
      <alignment vertical="center"/>
    </xf>
    <xf numFmtId="1" fontId="57" fillId="0" borderId="25" xfId="0" applyNumberFormat="1" applyFont="1" applyBorder="1" applyAlignment="1">
      <alignment wrapText="1"/>
    </xf>
    <xf numFmtId="1" fontId="60" fillId="0" borderId="177" xfId="0" applyNumberFormat="1" applyFont="1" applyFill="1" applyBorder="1" applyAlignment="1"/>
    <xf numFmtId="1" fontId="60" fillId="0" borderId="177" xfId="0" applyNumberFormat="1" applyFont="1" applyFill="1" applyBorder="1" applyAlignment="1">
      <alignment vertical="center" wrapText="1"/>
    </xf>
    <xf numFmtId="1" fontId="60" fillId="0" borderId="94" xfId="0" applyNumberFormat="1" applyFont="1" applyFill="1" applyBorder="1" applyAlignment="1">
      <alignment vertical="center"/>
    </xf>
    <xf numFmtId="1" fontId="58" fillId="18" borderId="158" xfId="0" applyNumberFormat="1" applyFont="1" applyFill="1" applyBorder="1" applyAlignment="1"/>
    <xf numFmtId="1" fontId="58" fillId="18" borderId="178" xfId="0" applyNumberFormat="1" applyFont="1" applyFill="1" applyBorder="1" applyAlignment="1"/>
    <xf numFmtId="1" fontId="58" fillId="18" borderId="102" xfId="0" applyNumberFormat="1" applyFont="1" applyFill="1" applyBorder="1" applyAlignment="1">
      <alignment vertical="center"/>
    </xf>
    <xf numFmtId="1" fontId="60" fillId="0" borderId="179" xfId="0" applyNumberFormat="1" applyFont="1" applyFill="1" applyBorder="1" applyAlignment="1"/>
    <xf numFmtId="1" fontId="57" fillId="12" borderId="16" xfId="0" applyNumberFormat="1" applyFont="1" applyFill="1" applyBorder="1" applyAlignment="1"/>
    <xf numFmtId="1" fontId="60" fillId="0" borderId="95" xfId="0" applyNumberFormat="1" applyFont="1" applyFill="1" applyBorder="1" applyAlignment="1"/>
    <xf numFmtId="1" fontId="60" fillId="0" borderId="180" xfId="0" applyNumberFormat="1" applyFont="1" applyFill="1" applyBorder="1" applyAlignment="1">
      <alignment vertical="center"/>
    </xf>
    <xf numFmtId="1" fontId="64" fillId="0" borderId="48" xfId="0" applyNumberFormat="1" applyFont="1" applyFill="1" applyBorder="1" applyAlignment="1" applyProtection="1">
      <protection locked="0"/>
    </xf>
    <xf numFmtId="1" fontId="64" fillId="0" borderId="62" xfId="0" applyNumberFormat="1" applyFont="1" applyFill="1" applyBorder="1" applyAlignment="1" applyProtection="1">
      <protection locked="0"/>
    </xf>
    <xf numFmtId="1" fontId="60" fillId="0" borderId="181" xfId="0" applyNumberFormat="1" applyFont="1" applyFill="1" applyBorder="1" applyAlignment="1"/>
    <xf numFmtId="1" fontId="60" fillId="20" borderId="46" xfId="0" applyNumberFormat="1" applyFont="1" applyFill="1" applyBorder="1" applyAlignment="1">
      <alignment vertical="center"/>
    </xf>
    <xf numFmtId="1" fontId="52" fillId="12" borderId="105" xfId="0" applyNumberFormat="1" applyFont="1" applyFill="1" applyBorder="1" applyAlignment="1"/>
    <xf numFmtId="1" fontId="52" fillId="12" borderId="106" xfId="0" applyNumberFormat="1" applyFont="1" applyFill="1" applyBorder="1" applyAlignment="1"/>
    <xf numFmtId="1" fontId="67" fillId="0" borderId="182" xfId="0" applyNumberFormat="1" applyFont="1" applyFill="1" applyBorder="1" applyAlignment="1">
      <alignment horizontal="center"/>
    </xf>
    <xf numFmtId="1" fontId="57"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7" xfId="0" applyNumberFormat="1" applyFont="1" applyFill="1" applyBorder="1" applyAlignment="1" applyProtection="1">
      <alignment horizontal="center" vertical="center"/>
      <protection locked="0"/>
    </xf>
    <xf numFmtId="1" fontId="60" fillId="19" borderId="44" xfId="0" applyNumberFormat="1" applyFont="1" applyFill="1" applyBorder="1" applyAlignment="1" applyProtection="1">
      <alignment horizontal="center" vertical="center"/>
      <protection locked="0"/>
    </xf>
    <xf numFmtId="1" fontId="60" fillId="19" borderId="4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176" xfId="0" applyNumberFormat="1" applyFont="1" applyFill="1" applyBorder="1" applyAlignment="1" applyProtection="1">
      <alignment horizontal="center" vertical="center"/>
      <protection locked="0"/>
    </xf>
    <xf numFmtId="1" fontId="57" fillId="0" borderId="183" xfId="0" applyNumberFormat="1" applyFont="1" applyFill="1" applyBorder="1" applyAlignment="1" applyProtection="1">
      <alignment horizontal="center" vertical="center"/>
      <protection locked="0"/>
    </xf>
    <xf numFmtId="1" fontId="57" fillId="0" borderId="55" xfId="0" applyNumberFormat="1" applyFont="1" applyFill="1" applyBorder="1" applyAlignment="1" applyProtection="1">
      <alignment horizontal="center" vertical="center"/>
      <protection locked="0"/>
    </xf>
    <xf numFmtId="1" fontId="57" fillId="0" borderId="85" xfId="0" applyNumberFormat="1" applyFont="1" applyFill="1" applyBorder="1" applyAlignment="1" applyProtection="1">
      <alignment horizontal="center" vertical="center"/>
      <protection locked="0"/>
    </xf>
    <xf numFmtId="1" fontId="57" fillId="0" borderId="101"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84" xfId="0" applyNumberFormat="1" applyFont="1" applyFill="1" applyBorder="1" applyAlignment="1">
      <alignment horizontal="center" vertical="center" wrapText="1"/>
    </xf>
    <xf numFmtId="1" fontId="57"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86" xfId="0" applyNumberFormat="1" applyFont="1" applyFill="1" applyBorder="1" applyAlignment="1" applyProtection="1">
      <alignment horizontal="center" vertical="center"/>
      <protection locked="0"/>
    </xf>
    <xf numFmtId="1" fontId="57" fillId="19" borderId="58" xfId="0" applyNumberFormat="1" applyFont="1" applyFill="1" applyBorder="1" applyAlignment="1" applyProtection="1">
      <alignment horizontal="center" vertical="center"/>
      <protection locked="0"/>
    </xf>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4"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8" fillId="15"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4" xfId="0" applyFont="1" applyFill="1" applyBorder="1"/>
    <xf numFmtId="172" fontId="44" fillId="23" borderId="196" xfId="1" applyFont="1" applyFill="1" applyBorder="1"/>
    <xf numFmtId="172" fontId="44" fillId="23" borderId="197" xfId="1" applyFont="1" applyFill="1" applyBorder="1"/>
    <xf numFmtId="172" fontId="22" fillId="23" borderId="197" xfId="0" applyFont="1" applyFill="1" applyBorder="1"/>
    <xf numFmtId="172" fontId="22"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5"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1"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5" fillId="0" borderId="104" xfId="0" applyFont="1" applyBorder="1"/>
    <xf numFmtId="3" fontId="6" fillId="13" borderId="194" xfId="0" applyNumberFormat="1" applyFont="1" applyFill="1" applyBorder="1" applyAlignment="1">
      <alignment horizontal="center"/>
    </xf>
    <xf numFmtId="177" fontId="0" fillId="0" borderId="0" xfId="0" applyNumberFormat="1" applyBorder="1" applyAlignment="1">
      <alignment horizontal="left"/>
    </xf>
    <xf numFmtId="172" fontId="22" fillId="0" borderId="0" xfId="0" applyFont="1" applyBorder="1" applyAlignment="1">
      <alignment horizontal="left"/>
    </xf>
    <xf numFmtId="172" fontId="5" fillId="0" borderId="0" xfId="0" applyFont="1" applyFill="1" applyBorder="1" applyAlignment="1">
      <alignment horizontal="left"/>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0" fillId="0" borderId="202" xfId="0" applyNumberFormat="1" applyBorder="1"/>
    <xf numFmtId="3" fontId="124" fillId="0" borderId="27" xfId="0" applyNumberFormat="1" applyFont="1" applyBorder="1"/>
    <xf numFmtId="3" fontId="6" fillId="0" borderId="203" xfId="0" applyNumberFormat="1" applyFont="1" applyBorder="1"/>
    <xf numFmtId="3" fontId="6" fillId="0" borderId="194" xfId="0" applyNumberFormat="1" applyFont="1" applyBorder="1"/>
    <xf numFmtId="3" fontId="0" fillId="0" borderId="201"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4" fillId="0" borderId="0" xfId="0" applyNumberFormat="1" applyFont="1" applyAlignment="1">
      <alignment vertical="top"/>
    </xf>
    <xf numFmtId="3" fontId="0" fillId="61" borderId="0" xfId="0" applyNumberFormat="1" applyFont="1" applyFill="1" applyAlignment="1">
      <alignment horizontal="left" vertical="top" wrapText="1"/>
    </xf>
    <xf numFmtId="3" fontId="125"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2" fillId="12" borderId="194" xfId="0" applyNumberFormat="1" applyFont="1" applyFill="1" applyBorder="1" applyAlignment="1">
      <alignment horizontal="center" vertical="center" wrapText="1"/>
    </xf>
    <xf numFmtId="3" fontId="0" fillId="60" borderId="200" xfId="0" applyNumberFormat="1" applyFill="1" applyBorder="1" applyAlignment="1">
      <alignment horizontal="left" vertical="top" wrapText="1"/>
    </xf>
    <xf numFmtId="3" fontId="0" fillId="61" borderId="200"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204" xfId="0" applyNumberFormat="1" applyFont="1" applyBorder="1" applyAlignment="1">
      <alignment horizontal="left" vertical="top"/>
    </xf>
    <xf numFmtId="3" fontId="21" fillId="0" borderId="205" xfId="0" applyNumberFormat="1" applyFont="1" applyBorder="1" applyAlignment="1">
      <alignment horizontal="left" vertical="top"/>
    </xf>
    <xf numFmtId="3" fontId="22" fillId="60" borderId="206" xfId="0" applyNumberFormat="1" applyFont="1" applyFill="1" applyBorder="1" applyAlignment="1">
      <alignment horizontal="left" vertical="top" wrapText="1"/>
    </xf>
    <xf numFmtId="3" fontId="0" fillId="60" borderId="206" xfId="0" applyNumberFormat="1" applyFill="1" applyBorder="1" applyAlignment="1">
      <alignment horizontal="left" vertical="top" wrapText="1"/>
    </xf>
    <xf numFmtId="3" fontId="22" fillId="62" borderId="206" xfId="0" applyNumberFormat="1" applyFont="1" applyFill="1" applyBorder="1" applyAlignment="1">
      <alignment horizontal="left" vertical="top" wrapText="1"/>
    </xf>
    <xf numFmtId="3" fontId="22" fillId="0" borderId="206" xfId="0" applyNumberFormat="1" applyFont="1" applyFill="1" applyBorder="1" applyAlignment="1">
      <alignment horizontal="left" vertical="top" wrapText="1"/>
    </xf>
    <xf numFmtId="172" fontId="0" fillId="60" borderId="206" xfId="0" applyFill="1" applyBorder="1" applyAlignment="1">
      <alignment horizontal="left" vertical="top" wrapText="1"/>
    </xf>
    <xf numFmtId="3" fontId="22" fillId="61" borderId="206" xfId="0" applyNumberFormat="1" applyFont="1" applyFill="1" applyBorder="1" applyAlignment="1">
      <alignment horizontal="left" vertical="top" wrapText="1"/>
    </xf>
    <xf numFmtId="3" fontId="0" fillId="0" borderId="206" xfId="0" applyNumberFormat="1" applyFill="1" applyBorder="1" applyAlignment="1">
      <alignment horizontal="left" vertical="top" wrapText="1"/>
    </xf>
    <xf numFmtId="3" fontId="22" fillId="0" borderId="206" xfId="0" applyNumberFormat="1" applyFont="1" applyBorder="1" applyAlignment="1">
      <alignment horizontal="left" vertical="top" wrapText="1"/>
    </xf>
    <xf numFmtId="3" fontId="0" fillId="0" borderId="206" xfId="0" applyNumberFormat="1" applyBorder="1" applyAlignment="1">
      <alignment horizontal="left" vertical="top" wrapText="1"/>
    </xf>
    <xf numFmtId="3" fontId="123" fillId="0" borderId="205" xfId="0" applyNumberFormat="1" applyFont="1" applyBorder="1" applyAlignment="1">
      <alignment horizontal="left" vertical="top"/>
    </xf>
    <xf numFmtId="3" fontId="0" fillId="0" borderId="206" xfId="0" applyNumberFormat="1" applyBorder="1"/>
    <xf numFmtId="3" fontId="0" fillId="0" borderId="207" xfId="0" applyNumberFormat="1" applyBorder="1"/>
    <xf numFmtId="3" fontId="122" fillId="12" borderId="28" xfId="0" applyNumberFormat="1" applyFont="1" applyFill="1" applyBorder="1" applyAlignment="1">
      <alignment horizontal="center" vertical="center" wrapText="1"/>
    </xf>
    <xf numFmtId="172" fontId="0" fillId="60" borderId="208" xfId="0" applyFill="1" applyBorder="1" applyAlignment="1">
      <alignment horizontal="left" vertical="top" wrapText="1"/>
    </xf>
    <xf numFmtId="3" fontId="22" fillId="0" borderId="208" xfId="0" applyNumberFormat="1" applyFont="1" applyBorder="1" applyAlignment="1">
      <alignment horizontal="left" vertical="top" wrapText="1"/>
    </xf>
    <xf numFmtId="3" fontId="0" fillId="0" borderId="208" xfId="0" applyNumberFormat="1" applyFill="1" applyBorder="1" applyAlignment="1">
      <alignment horizontal="left" vertical="top" wrapText="1"/>
    </xf>
    <xf numFmtId="3" fontId="22" fillId="0" borderId="208" xfId="0" applyNumberFormat="1" applyFont="1" applyFill="1" applyBorder="1" applyAlignment="1">
      <alignment horizontal="left" vertical="top" wrapText="1"/>
    </xf>
    <xf numFmtId="3" fontId="0" fillId="0" borderId="208" xfId="0" applyNumberFormat="1" applyBorder="1"/>
    <xf numFmtId="3" fontId="22" fillId="60" borderId="209" xfId="0" applyNumberFormat="1" applyFont="1" applyFill="1" applyBorder="1" applyAlignment="1">
      <alignment horizontal="left" vertical="top" wrapText="1"/>
    </xf>
    <xf numFmtId="3" fontId="0" fillId="0" borderId="209" xfId="0" applyNumberFormat="1" applyFill="1" applyBorder="1" applyAlignment="1">
      <alignment horizontal="left" vertical="top" wrapText="1"/>
    </xf>
    <xf numFmtId="3" fontId="0" fillId="61" borderId="209" xfId="0" applyNumberFormat="1" applyFill="1" applyBorder="1" applyAlignment="1">
      <alignment horizontal="left" vertical="top" wrapText="1"/>
    </xf>
    <xf numFmtId="3" fontId="22" fillId="62" borderId="209" xfId="0" applyNumberFormat="1" applyFont="1" applyFill="1" applyBorder="1" applyAlignment="1">
      <alignment horizontal="left" vertical="top" wrapText="1"/>
    </xf>
    <xf numFmtId="3" fontId="22" fillId="0" borderId="209" xfId="0" applyNumberFormat="1" applyFont="1" applyFill="1" applyBorder="1" applyAlignment="1">
      <alignment horizontal="left" vertical="top" wrapText="1"/>
    </xf>
    <xf numFmtId="172" fontId="0" fillId="60" borderId="209" xfId="0" applyFill="1" applyBorder="1" applyAlignment="1">
      <alignment horizontal="left" vertical="top" wrapText="1"/>
    </xf>
    <xf numFmtId="172" fontId="0" fillId="60" borderId="210" xfId="0" applyFill="1" applyBorder="1" applyAlignment="1">
      <alignment horizontal="left" vertical="top" wrapText="1"/>
    </xf>
    <xf numFmtId="3" fontId="0" fillId="60" borderId="211" xfId="0" applyNumberFormat="1" applyFill="1" applyBorder="1" applyAlignment="1">
      <alignment horizontal="left" vertical="top" wrapText="1"/>
    </xf>
    <xf numFmtId="3" fontId="0" fillId="0" borderId="213" xfId="0" applyNumberFormat="1" applyBorder="1"/>
    <xf numFmtId="3" fontId="0" fillId="0" borderId="212"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4" fillId="12" borderId="87"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3"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75" xfId="0" applyNumberFormat="1" applyFont="1" applyFill="1" applyBorder="1" applyAlignment="1">
      <alignment horizontal="center" vertical="center" wrapText="1"/>
    </xf>
    <xf numFmtId="3" fontId="52" fillId="12" borderId="105" xfId="0" applyNumberFormat="1" applyFont="1" applyFill="1" applyBorder="1" applyAlignment="1">
      <alignment horizontal="center" vertical="top" wrapText="1"/>
    </xf>
    <xf numFmtId="3" fontId="52" fillId="12" borderId="106" xfId="0" applyNumberFormat="1" applyFont="1" applyFill="1" applyBorder="1" applyAlignment="1">
      <alignment horizontal="center" vertical="top" wrapText="1"/>
    </xf>
    <xf numFmtId="3" fontId="52" fillId="12" borderId="76"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7"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9" xfId="0" applyNumberFormat="1" applyFont="1" applyFill="1" applyBorder="1" applyAlignment="1">
      <alignment horizontal="center" vertical="center" wrapText="1"/>
    </xf>
    <xf numFmtId="3" fontId="57" fillId="12" borderId="160" xfId="0" applyNumberFormat="1" applyFont="1" applyFill="1" applyBorder="1" applyAlignment="1">
      <alignment horizontal="center" vertical="center" wrapText="1"/>
    </xf>
    <xf numFmtId="3" fontId="59" fillId="18" borderId="43" xfId="0" applyNumberFormat="1" applyFont="1" applyFill="1" applyBorder="1" applyAlignment="1">
      <alignment horizontal="center" vertical="center"/>
    </xf>
    <xf numFmtId="1" fontId="60" fillId="18" borderId="53" xfId="0" applyNumberFormat="1" applyFont="1" applyFill="1" applyBorder="1" applyAlignment="1">
      <alignment horizontal="center" vertical="center"/>
    </xf>
    <xf numFmtId="1" fontId="27"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7"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7"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7" fillId="21" borderId="57"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5" xfId="0" applyNumberFormat="1" applyFont="1" applyFill="1" applyBorder="1" applyAlignment="1">
      <alignment horizontal="center" vertical="center"/>
    </xf>
    <xf numFmtId="1" fontId="60" fillId="21" borderId="67"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1" fontId="57" fillId="12" borderId="31"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2"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2" fillId="12" borderId="72"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73" xfId="0" applyNumberFormat="1" applyFont="1" applyFill="1" applyBorder="1" applyAlignment="1">
      <alignment horizontal="center" vertical="center" wrapText="1"/>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7" fillId="12" borderId="64"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7"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57" fillId="12" borderId="67"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69" fillId="12" borderId="77"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2" fillId="12" borderId="194" xfId="0" applyNumberFormat="1" applyFont="1" applyFill="1" applyBorder="1" applyAlignment="1">
      <alignment horizontal="center" vertical="center" wrapText="1"/>
    </xf>
    <xf numFmtId="3" fontId="122" fillId="12" borderId="14" xfId="0" applyNumberFormat="1" applyFont="1" applyFill="1" applyBorder="1" applyAlignment="1">
      <alignment horizontal="center" vertical="top" wrapText="1"/>
    </xf>
    <xf numFmtId="3" fontId="122" fillId="12" borderId="28" xfId="0" applyNumberFormat="1" applyFont="1" applyFill="1" applyBorder="1" applyAlignment="1">
      <alignment horizontal="center" vertical="top" wrapText="1"/>
    </xf>
    <xf numFmtId="3" fontId="122" fillId="12" borderId="8" xfId="0" applyNumberFormat="1" applyFont="1" applyFill="1" applyBorder="1" applyAlignment="1">
      <alignment horizontal="center" vertical="center" wrapText="1"/>
    </xf>
    <xf numFmtId="3" fontId="122" fillId="12" borderId="11" xfId="0" applyNumberFormat="1" applyFont="1" applyFill="1" applyBorder="1" applyAlignment="1">
      <alignment horizontal="center" vertical="center" wrapText="1"/>
    </xf>
    <xf numFmtId="3" fontId="122" fillId="12" borderId="9" xfId="0" applyNumberFormat="1" applyFont="1" applyFill="1" applyBorder="1" applyAlignment="1">
      <alignment horizontal="center" vertical="center" wrapText="1"/>
    </xf>
    <xf numFmtId="3" fontId="122" fillId="12" borderId="13" xfId="0" applyNumberFormat="1" applyFont="1" applyFill="1" applyBorder="1" applyAlignment="1">
      <alignment horizontal="center" vertical="center" wrapText="1"/>
    </xf>
    <xf numFmtId="3" fontId="122" fillId="12" borderId="10" xfId="0" applyNumberFormat="1" applyFont="1" applyFill="1" applyBorder="1" applyAlignment="1">
      <alignment horizontal="center" vertical="center" wrapText="1"/>
    </xf>
    <xf numFmtId="3" fontId="122" fillId="12" borderId="12"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7"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94"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80" xfId="0" applyNumberFormat="1" applyFont="1" applyFill="1" applyBorder="1" applyAlignment="1" applyProtection="1">
      <alignment horizontal="right" vertical="center"/>
    </xf>
    <xf numFmtId="2" fontId="41" fillId="21" borderId="21" xfId="0" applyNumberFormat="1" applyFont="1" applyFill="1" applyBorder="1" applyAlignment="1" applyProtection="1">
      <alignment horizontal="right" vertical="center"/>
    </xf>
    <xf numFmtId="2" fontId="41" fillId="21" borderId="84" xfId="0" applyNumberFormat="1" applyFont="1" applyFill="1" applyBorder="1" applyAlignment="1" applyProtection="1">
      <alignment horizontal="right" vertical="center"/>
    </xf>
    <xf numFmtId="2" fontId="41" fillId="21" borderId="29" xfId="0" applyNumberFormat="1" applyFont="1" applyFill="1" applyBorder="1" applyAlignment="1" applyProtection="1">
      <alignment horizontal="right" vertical="center"/>
    </xf>
    <xf numFmtId="2" fontId="41" fillId="21" borderId="67" xfId="0" applyNumberFormat="1" applyFont="1" applyFill="1" applyBorder="1" applyAlignment="1" applyProtection="1">
      <alignment horizontal="right" vertical="center"/>
    </xf>
    <xf numFmtId="2" fontId="41"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2" fontId="41" fillId="21" borderId="0" xfId="0" applyNumberFormat="1" applyFont="1" applyFill="1" applyBorder="1" applyAlignment="1" applyProtection="1">
      <alignment horizontal="right" vertical="center"/>
    </xf>
    <xf numFmtId="2" fontId="41" fillId="21" borderId="12" xfId="0" applyNumberFormat="1" applyFont="1" applyFill="1" applyBorder="1" applyAlignment="1" applyProtection="1">
      <alignment horizontal="right" vertical="center"/>
    </xf>
    <xf numFmtId="2" fontId="37" fillId="21" borderId="57" xfId="0" applyNumberFormat="1" applyFont="1" applyFill="1" applyBorder="1" applyAlignment="1" applyProtection="1">
      <alignment horizontal="right" vertical="center" wrapText="1"/>
    </xf>
    <xf numFmtId="2" fontId="37" fillId="21" borderId="0" xfId="0" applyNumberFormat="1" applyFont="1" applyFill="1" applyBorder="1" applyAlignment="1" applyProtection="1">
      <alignment horizontal="right" vertical="center" wrapText="1"/>
    </xf>
    <xf numFmtId="2" fontId="37" fillId="21" borderId="12" xfId="0" applyNumberFormat="1" applyFont="1" applyFill="1" applyBorder="1" applyAlignment="1" applyProtection="1">
      <alignment horizontal="right" vertical="center" wrapText="1"/>
    </xf>
    <xf numFmtId="2" fontId="41" fillId="21" borderId="79" xfId="0" applyNumberFormat="1" applyFont="1" applyFill="1" applyBorder="1" applyAlignment="1" applyProtection="1">
      <alignment horizontal="right" vertical="center"/>
    </xf>
    <xf numFmtId="2" fontId="41" fillId="21" borderId="81" xfId="0" applyNumberFormat="1" applyFont="1" applyFill="1" applyBorder="1" applyAlignment="1" applyProtection="1">
      <alignment horizontal="right" vertical="center"/>
    </xf>
    <xf numFmtId="2" fontId="41" fillId="21" borderId="83" xfId="0" applyNumberFormat="1" applyFont="1" applyFill="1" applyBorder="1" applyAlignment="1" applyProtection="1">
      <alignment horizontal="right" vertical="center"/>
    </xf>
    <xf numFmtId="0" fontId="37" fillId="12" borderId="64" xfId="0" applyNumberFormat="1" applyFont="1" applyFill="1" applyBorder="1" applyAlignment="1" applyProtection="1">
      <alignment horizontal="center" vertical="center" wrapText="1"/>
    </xf>
    <xf numFmtId="0" fontId="37" fillId="12" borderId="7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73"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0" fontId="36" fillId="12" borderId="70" xfId="0" applyNumberFormat="1" applyFont="1" applyFill="1" applyBorder="1" applyAlignment="1" applyProtection="1">
      <alignment horizontal="center" vertical="center"/>
    </xf>
    <xf numFmtId="0" fontId="36" fillId="12" borderId="71" xfId="0" applyNumberFormat="1" applyFont="1" applyFill="1" applyBorder="1" applyAlignment="1" applyProtection="1">
      <alignment horizontal="center" vertical="center"/>
    </xf>
    <xf numFmtId="0" fontId="36" fillId="12" borderId="72" xfId="0" applyNumberFormat="1" applyFont="1" applyFill="1" applyBorder="1" applyAlignment="1" applyProtection="1">
      <alignment horizontal="center" vertical="center"/>
    </xf>
    <xf numFmtId="172" fontId="30" fillId="12" borderId="48" xfId="0" applyFont="1" applyFill="1" applyBorder="1" applyAlignment="1" applyProtection="1">
      <alignment horizontal="center" vertical="center" wrapText="1"/>
    </xf>
    <xf numFmtId="172" fontId="30" fillId="12" borderId="62"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9" xfId="0" applyNumberFormat="1" applyFont="1" applyFill="1" applyBorder="1" applyAlignment="1" applyProtection="1">
      <alignment horizontal="center" vertical="center" wrapText="1"/>
    </xf>
    <xf numFmtId="0" fontId="37" fillId="12" borderId="61"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right" vertical="center"/>
    </xf>
    <xf numFmtId="2" fontId="41" fillId="21" borderId="45"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right" vertical="center"/>
    </xf>
    <xf numFmtId="2" fontId="41" fillId="21" borderId="33" xfId="0" applyNumberFormat="1"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wrapText="1"/>
    </xf>
    <xf numFmtId="0" fontId="37" fillId="12" borderId="67"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7"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60" xfId="0" applyNumberFormat="1" applyFont="1" applyFill="1" applyBorder="1" applyAlignment="1" applyProtection="1">
      <alignment horizontal="center" vertical="center" wrapText="1"/>
    </xf>
    <xf numFmtId="0" fontId="37" fillId="12" borderId="7"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43" fillId="12" borderId="77" xfId="0" applyNumberFormat="1" applyFont="1" applyFill="1" applyBorder="1" applyAlignment="1" applyProtection="1">
      <alignment horizontal="center" vertical="center" wrapText="1"/>
    </xf>
    <xf numFmtId="172" fontId="37" fillId="19" borderId="158"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2"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8"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41" fillId="0" borderId="67"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9"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5" xfId="0" applyFont="1" applyFill="1" applyBorder="1" applyAlignment="1" applyProtection="1">
      <alignment horizontal="right" vertical="center"/>
    </xf>
    <xf numFmtId="172" fontId="37" fillId="19" borderId="101"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4" fillId="23" borderId="126" xfId="222" applyFont="1" applyFill="1" applyBorder="1"/>
    <xf numFmtId="0" fontId="44" fillId="23" borderId="134" xfId="222" applyFont="1" applyFill="1" applyBorder="1"/>
    <xf numFmtId="0" fontId="83" fillId="0" borderId="0" xfId="221" applyFont="1" applyBorder="1"/>
    <xf numFmtId="0" fontId="84" fillId="0" borderId="0" xfId="205" applyFont="1" applyBorder="1"/>
    <xf numFmtId="0" fontId="89" fillId="23" borderId="103" xfId="221" applyFont="1" applyFill="1" applyBorder="1"/>
    <xf numFmtId="0" fontId="44" fillId="23" borderId="125" xfId="222" applyFont="1" applyFill="1" applyBorder="1"/>
    <xf numFmtId="0" fontId="44" fillId="23" borderId="126" xfId="222" applyFont="1" applyFill="1" applyBorder="1" applyAlignment="1">
      <alignment horizontal="left"/>
    </xf>
    <xf numFmtId="0" fontId="22" fillId="0" borderId="114" xfId="223" applyFont="1" applyBorder="1"/>
    <xf numFmtId="0" fontId="44" fillId="23" borderId="127" xfId="222" applyFont="1" applyFill="1" applyBorder="1"/>
    <xf numFmtId="0" fontId="44" fillId="23" borderId="128" xfId="222" applyFont="1" applyFill="1" applyBorder="1"/>
    <xf numFmtId="0" fontId="44" fillId="23" borderId="129" xfId="222" applyFont="1" applyFill="1" applyBorder="1"/>
    <xf numFmtId="0" fontId="22" fillId="0" borderId="0" xfId="223" applyFont="1"/>
    <xf numFmtId="0" fontId="44" fillId="23" borderId="130" xfId="223" applyFont="1" applyFill="1" applyBorder="1"/>
    <xf numFmtId="0" fontId="44" fillId="23" borderId="120" xfId="223" applyFont="1" applyFill="1" applyBorder="1"/>
    <xf numFmtId="0" fontId="44" fillId="23" borderId="131" xfId="223" applyFont="1" applyFill="1" applyBorder="1"/>
    <xf numFmtId="0" fontId="44" fillId="23" borderId="127" xfId="223" applyFont="1" applyFill="1" applyBorder="1"/>
    <xf numFmtId="0" fontId="44" fillId="23" borderId="128" xfId="223" applyFont="1" applyFill="1" applyBorder="1"/>
    <xf numFmtId="0" fontId="44" fillId="23" borderId="129" xfId="223" applyFont="1" applyFill="1" applyBorder="1"/>
    <xf numFmtId="0" fontId="22" fillId="0" borderId="0" xfId="223" applyFont="1" applyBorder="1"/>
    <xf numFmtId="0" fontId="89" fillId="23" borderId="21" xfId="221" applyFont="1" applyFill="1" applyBorder="1"/>
    <xf numFmtId="0" fontId="44" fillId="23" borderId="128" xfId="268" applyNumberFormat="1" applyFont="1" applyFill="1" applyBorder="1" applyAlignment="1">
      <alignment horizontal="left"/>
    </xf>
    <xf numFmtId="0" fontId="44" fillId="23" borderId="128" xfId="222" applyFont="1" applyFill="1" applyBorder="1" applyAlignment="1">
      <alignment horizontal="left"/>
    </xf>
    <xf numFmtId="0" fontId="4" fillId="0" borderId="0" xfId="218" applyNumberFormat="1"/>
    <xf numFmtId="0" fontId="80" fillId="0" borderId="0" xfId="223" applyFont="1"/>
    <xf numFmtId="0" fontId="22" fillId="23" borderId="53"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725</v>
      </c>
      <c r="B2" s="400"/>
      <c r="C2" s="401"/>
    </row>
    <row r="3" spans="1:7" s="11" customFormat="1" ht="15" customHeight="1">
      <c r="A3" s="93"/>
      <c r="B3" s="74"/>
      <c r="C3" s="94"/>
    </row>
    <row r="4" spans="1:7" s="11" customFormat="1" ht="15.75" customHeight="1" thickBot="1">
      <c r="A4" s="105" t="s">
        <v>920</v>
      </c>
      <c r="B4" s="106"/>
      <c r="C4" s="107"/>
    </row>
    <row r="5" spans="1:7" s="394" customFormat="1" ht="15.75" customHeight="1">
      <c r="A5" s="391" t="s">
        <v>0</v>
      </c>
      <c r="B5" s="392"/>
      <c r="C5" s="393"/>
    </row>
    <row r="6" spans="1:7" s="394" customFormat="1" ht="15" customHeight="1">
      <c r="A6" s="395" t="str">
        <f>txtNIS</f>
        <v>72038</v>
      </c>
      <c r="B6" s="396"/>
      <c r="C6" s="397"/>
    </row>
    <row r="7" spans="1:7" s="394" customFormat="1" ht="15.75" customHeight="1">
      <c r="A7" s="398" t="str">
        <f>txtMunicipality</f>
        <v>HECHTEL-EKSEL</v>
      </c>
      <c r="B7" s="396"/>
      <c r="C7" s="397"/>
    </row>
    <row r="8" spans="1:7" ht="15.75" thickBot="1">
      <c r="A8" s="45"/>
      <c r="B8" s="108"/>
      <c r="C8" s="109"/>
    </row>
    <row r="9" spans="1:7" s="387" customFormat="1" ht="15.75" thickBot="1">
      <c r="A9" s="411" t="s">
        <v>358</v>
      </c>
      <c r="B9" s="414"/>
      <c r="C9" s="415"/>
    </row>
    <row r="10" spans="1:7" s="15" customFormat="1" ht="57.75" customHeight="1" thickBot="1">
      <c r="A10" s="1035" t="s">
        <v>724</v>
      </c>
      <c r="B10" s="1036"/>
      <c r="C10" s="1037"/>
    </row>
    <row r="11" spans="1:7" s="388" customFormat="1" ht="15.75" thickBot="1">
      <c r="A11" s="411" t="s">
        <v>361</v>
      </c>
      <c r="B11" s="414"/>
      <c r="C11" s="415"/>
      <c r="G11" s="389"/>
    </row>
    <row r="12" spans="1:7">
      <c r="A12" s="44"/>
      <c r="B12" s="43"/>
      <c r="C12" s="96"/>
    </row>
    <row r="13" spans="1:7" s="388" customFormat="1">
      <c r="A13" s="817" t="s">
        <v>628</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362</v>
      </c>
      <c r="B16" s="1038" t="s">
        <v>533</v>
      </c>
      <c r="C16" s="1039"/>
    </row>
    <row r="17" spans="1:3" s="15" customFormat="1" ht="15.75">
      <c r="A17" s="98"/>
      <c r="B17" s="70"/>
      <c r="C17" s="99"/>
    </row>
    <row r="18" spans="1:3">
      <c r="A18" s="95" t="s">
        <v>365</v>
      </c>
      <c r="B18" s="69" t="s">
        <v>377</v>
      </c>
      <c r="C18" s="100" t="s">
        <v>376</v>
      </c>
    </row>
    <row r="19" spans="1:3" s="339" customFormat="1">
      <c r="A19" s="378" t="s">
        <v>363</v>
      </c>
      <c r="B19" s="379" t="s">
        <v>708</v>
      </c>
      <c r="C19" s="380" t="s">
        <v>531</v>
      </c>
    </row>
    <row r="20" spans="1:3" s="339" customFormat="1">
      <c r="A20" s="381"/>
      <c r="B20" s="336"/>
      <c r="C20" s="382"/>
    </row>
    <row r="21" spans="1:3" s="339" customFormat="1">
      <c r="A21" s="383" t="s">
        <v>364</v>
      </c>
      <c r="B21" s="379" t="s">
        <v>528</v>
      </c>
      <c r="C21" s="380" t="s">
        <v>532</v>
      </c>
    </row>
    <row r="22" spans="1:3" s="339" customFormat="1">
      <c r="A22" s="384"/>
      <c r="B22" s="336"/>
      <c r="C22" s="382"/>
    </row>
    <row r="23" spans="1:3" s="339" customFormat="1" ht="30">
      <c r="A23" s="378" t="s">
        <v>445</v>
      </c>
      <c r="B23" s="451" t="s">
        <v>449</v>
      </c>
      <c r="C23" s="380" t="s">
        <v>529</v>
      </c>
    </row>
    <row r="24" spans="1:3" s="339" customFormat="1">
      <c r="A24" s="384"/>
      <c r="B24" s="336"/>
      <c r="C24" s="382"/>
    </row>
    <row r="25" spans="1:3" s="339" customFormat="1">
      <c r="A25" s="378" t="s">
        <v>447</v>
      </c>
      <c r="B25" s="379" t="s">
        <v>446</v>
      </c>
      <c r="C25" s="380" t="s">
        <v>530</v>
      </c>
    </row>
    <row r="26" spans="1:3" s="339" customFormat="1">
      <c r="A26" s="384"/>
      <c r="B26" s="336"/>
      <c r="C26" s="382"/>
    </row>
    <row r="27" spans="1:3" s="339" customFormat="1">
      <c r="A27" s="378" t="s">
        <v>419</v>
      </c>
      <c r="B27" s="379" t="s">
        <v>444</v>
      </c>
      <c r="C27" s="380"/>
    </row>
    <row r="28" spans="1:3" s="339" customFormat="1">
      <c r="A28" s="384"/>
      <c r="B28" s="336" t="s">
        <v>585</v>
      </c>
      <c r="C28" s="382"/>
    </row>
    <row r="29" spans="1:3" ht="15.75" thickBot="1">
      <c r="A29" s="44"/>
      <c r="B29" s="43"/>
      <c r="C29" s="96"/>
    </row>
    <row r="30" spans="1:3" s="387" customFormat="1" ht="15.75" thickBot="1">
      <c r="A30" s="411" t="s">
        <v>374</v>
      </c>
      <c r="B30" s="412"/>
      <c r="C30" s="413"/>
    </row>
    <row r="31" spans="1:3" s="15" customFormat="1" ht="15.75">
      <c r="A31" s="98"/>
      <c r="B31" s="71"/>
      <c r="C31" s="102"/>
    </row>
    <row r="32" spans="1:3" s="15" customFormat="1">
      <c r="A32" s="103" t="s">
        <v>375</v>
      </c>
      <c r="B32" s="73" t="s">
        <v>377</v>
      </c>
      <c r="C32" s="104"/>
    </row>
    <row r="33" spans="1:3" s="405" customFormat="1">
      <c r="A33" s="402" t="s">
        <v>366</v>
      </c>
      <c r="B33" s="403" t="s">
        <v>378</v>
      </c>
      <c r="C33" s="404"/>
    </row>
    <row r="34" spans="1:3" s="405" customFormat="1">
      <c r="A34" s="406" t="s">
        <v>367</v>
      </c>
      <c r="B34" s="407" t="s">
        <v>368</v>
      </c>
      <c r="C34" s="408"/>
    </row>
    <row r="35" spans="1:3" s="405" customFormat="1">
      <c r="A35" s="409" t="s">
        <v>369</v>
      </c>
      <c r="B35" s="407" t="s">
        <v>370</v>
      </c>
      <c r="C35" s="408"/>
    </row>
    <row r="36" spans="1:3" s="405" customFormat="1">
      <c r="A36" s="410" t="s">
        <v>371</v>
      </c>
      <c r="B36" s="407" t="s">
        <v>372</v>
      </c>
      <c r="C36" s="408"/>
    </row>
    <row r="37" spans="1:3" s="405" customFormat="1" ht="30">
      <c r="A37" s="439" t="s">
        <v>373</v>
      </c>
      <c r="B37" s="407" t="s">
        <v>477</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J61" sqref="J61"/>
    </sheetView>
  </sheetViews>
  <sheetFormatPr defaultRowHeight="15"/>
  <cols>
    <col min="1" max="1" width="54" bestFit="1" customWidth="1"/>
    <col min="2" max="2" width="26" style="459" bestFit="1" customWidth="1"/>
    <col min="3" max="3" width="26" customWidth="1"/>
    <col min="4" max="4" width="69.42578125" customWidth="1"/>
  </cols>
  <sheetData>
    <row r="1" spans="1:11" s="43" customFormat="1" ht="15.75" thickBot="1">
      <c r="B1" s="461"/>
    </row>
    <row r="2" spans="1:11" s="43" customFormat="1">
      <c r="A2" s="185" t="s">
        <v>535</v>
      </c>
      <c r="B2" s="513"/>
      <c r="C2" s="186"/>
      <c r="D2" s="187"/>
    </row>
    <row r="3" spans="1:11">
      <c r="A3" s="101"/>
      <c r="B3" s="514"/>
      <c r="C3" s="142" t="s">
        <v>183</v>
      </c>
      <c r="D3" s="145" t="s">
        <v>394</v>
      </c>
    </row>
    <row r="4" spans="1:11">
      <c r="A4" s="44" t="s">
        <v>450</v>
      </c>
      <c r="B4" s="47"/>
      <c r="C4" s="32"/>
      <c r="D4" s="144" t="s">
        <v>396</v>
      </c>
    </row>
    <row r="5" spans="1:11">
      <c r="A5" s="44"/>
      <c r="B5" s="48"/>
      <c r="C5" s="32"/>
      <c r="D5" s="144"/>
    </row>
    <row r="6" spans="1:11" s="10" customFormat="1" ht="21.75" thickBot="1">
      <c r="A6" s="190" t="s">
        <v>483</v>
      </c>
      <c r="B6" s="515"/>
      <c r="C6" s="191"/>
      <c r="D6" s="192"/>
    </row>
    <row r="7" spans="1:11" s="43" customFormat="1" ht="15.75" thickBot="1">
      <c r="B7" s="461"/>
    </row>
    <row r="8" spans="1:11" s="43" customFormat="1">
      <c r="A8" s="185" t="s">
        <v>548</v>
      </c>
      <c r="B8" s="513"/>
      <c r="C8" s="186"/>
      <c r="D8" s="187"/>
    </row>
    <row r="9" spans="1:11" s="32" customFormat="1">
      <c r="A9" s="46"/>
      <c r="B9" s="516"/>
      <c r="C9" s="42"/>
      <c r="D9" s="304"/>
    </row>
    <row r="10" spans="1:11">
      <c r="A10" s="305" t="s">
        <v>576</v>
      </c>
      <c r="B10" s="514"/>
      <c r="C10" s="142" t="s">
        <v>183</v>
      </c>
      <c r="D10" s="145" t="s">
        <v>394</v>
      </c>
      <c r="I10" s="1144"/>
      <c r="K10" s="58"/>
    </row>
    <row r="11" spans="1:11" s="43" customFormat="1">
      <c r="A11" s="44" t="s">
        <v>577</v>
      </c>
      <c r="B11" s="47"/>
      <c r="D11" s="143" t="s">
        <v>395</v>
      </c>
      <c r="I11" s="1144"/>
      <c r="K11" s="58"/>
    </row>
    <row r="12" spans="1:11" s="43" customFormat="1">
      <c r="A12" s="44" t="s">
        <v>578</v>
      </c>
      <c r="B12" s="47"/>
      <c r="D12" s="143" t="s">
        <v>395</v>
      </c>
      <c r="I12" s="1144"/>
      <c r="K12" s="58"/>
    </row>
    <row r="13" spans="1:11" s="43" customFormat="1">
      <c r="A13" s="44"/>
      <c r="B13" s="461"/>
      <c r="D13" s="96"/>
      <c r="I13" s="1144"/>
    </row>
    <row r="14" spans="1:11" s="43" customFormat="1">
      <c r="A14" s="305" t="s">
        <v>575</v>
      </c>
      <c r="B14" s="514"/>
      <c r="C14" s="142" t="s">
        <v>183</v>
      </c>
      <c r="D14" s="145" t="s">
        <v>394</v>
      </c>
      <c r="I14" s="1144"/>
    </row>
    <row r="15" spans="1:11" s="43" customFormat="1">
      <c r="A15" s="44" t="s">
        <v>71</v>
      </c>
      <c r="B15" s="47"/>
      <c r="D15" s="143" t="s">
        <v>395</v>
      </c>
      <c r="I15" s="1144"/>
      <c r="J15" s="1144"/>
    </row>
    <row r="16" spans="1:11" s="43" customFormat="1">
      <c r="A16" s="44" t="s">
        <v>540</v>
      </c>
      <c r="B16" s="47"/>
      <c r="D16" s="143" t="s">
        <v>395</v>
      </c>
      <c r="I16" s="1144"/>
      <c r="J16" s="1144"/>
    </row>
    <row r="17" spans="1:11" s="43" customFormat="1">
      <c r="A17" s="44" t="s">
        <v>78</v>
      </c>
      <c r="B17" s="47"/>
      <c r="D17" s="143" t="s">
        <v>395</v>
      </c>
      <c r="I17" s="1144"/>
      <c r="J17" s="1144"/>
    </row>
    <row r="18" spans="1:11" s="43" customFormat="1">
      <c r="A18" s="44" t="s">
        <v>541</v>
      </c>
      <c r="B18" s="47"/>
      <c r="D18" s="143" t="s">
        <v>395</v>
      </c>
      <c r="I18" s="1144"/>
      <c r="J18" s="1144"/>
      <c r="K18" s="58"/>
    </row>
    <row r="19" spans="1:11" s="43" customFormat="1">
      <c r="A19" s="44" t="s">
        <v>77</v>
      </c>
      <c r="B19" s="47"/>
      <c r="D19" s="143" t="s">
        <v>395</v>
      </c>
      <c r="I19" s="1144"/>
      <c r="J19" s="1145"/>
      <c r="K19" s="58"/>
    </row>
    <row r="20" spans="1:11" s="43" customFormat="1">
      <c r="A20" s="32" t="s">
        <v>542</v>
      </c>
      <c r="B20" s="47"/>
      <c r="D20" s="143" t="s">
        <v>395</v>
      </c>
      <c r="I20" s="306"/>
      <c r="J20" s="307"/>
      <c r="K20" s="58"/>
    </row>
    <row r="21" spans="1:11" s="43" customFormat="1">
      <c r="A21" s="32" t="s">
        <v>543</v>
      </c>
      <c r="B21" s="47"/>
      <c r="D21" s="143" t="s">
        <v>395</v>
      </c>
      <c r="I21" s="306"/>
      <c r="J21" s="307"/>
      <c r="K21" s="58"/>
    </row>
    <row r="22" spans="1:11" s="43" customFormat="1">
      <c r="A22" s="32" t="s">
        <v>544</v>
      </c>
      <c r="B22" s="47"/>
      <c r="D22" s="143" t="s">
        <v>395</v>
      </c>
      <c r="I22" s="306"/>
      <c r="J22" s="307"/>
      <c r="K22" s="58"/>
    </row>
    <row r="23" spans="1:11">
      <c r="A23" s="32" t="s">
        <v>545</v>
      </c>
      <c r="B23" s="47"/>
      <c r="C23" s="43"/>
      <c r="D23" s="143" t="s">
        <v>395</v>
      </c>
      <c r="I23" s="58"/>
      <c r="J23" s="58"/>
      <c r="K23" s="58"/>
    </row>
    <row r="24" spans="1:11">
      <c r="A24" s="32" t="s">
        <v>546</v>
      </c>
      <c r="B24" s="47"/>
      <c r="C24" s="43"/>
      <c r="D24" s="143" t="s">
        <v>395</v>
      </c>
      <c r="I24" s="58"/>
      <c r="J24" s="58"/>
      <c r="K24" s="58"/>
    </row>
    <row r="25" spans="1:11">
      <c r="A25" s="58"/>
      <c r="B25" s="48"/>
      <c r="C25" s="43"/>
      <c r="D25" s="143"/>
      <c r="I25" s="58"/>
      <c r="J25" s="58"/>
      <c r="K25" s="58"/>
    </row>
    <row r="26" spans="1:11" ht="21.75" thickBot="1">
      <c r="A26" s="190" t="s">
        <v>586</v>
      </c>
      <c r="B26" s="517"/>
      <c r="C26" s="108"/>
      <c r="D26" s="109"/>
      <c r="I26" s="58"/>
      <c r="J26" s="58"/>
      <c r="K26" s="58"/>
    </row>
    <row r="28" spans="1:11" ht="15.75" thickBot="1"/>
    <row r="29" spans="1:11" s="43" customFormat="1">
      <c r="A29" s="185" t="s">
        <v>536</v>
      </c>
      <c r="B29" s="513"/>
      <c r="C29" s="186"/>
      <c r="D29" s="187"/>
    </row>
    <row r="30" spans="1:11" s="32" customFormat="1">
      <c r="A30" s="46"/>
      <c r="B30" s="516"/>
      <c r="C30" s="42"/>
      <c r="D30" s="304"/>
    </row>
    <row r="31" spans="1:11">
      <c r="A31" s="305" t="s">
        <v>576</v>
      </c>
      <c r="B31" s="514"/>
      <c r="C31" s="142" t="s">
        <v>183</v>
      </c>
      <c r="D31" s="145" t="s">
        <v>394</v>
      </c>
    </row>
    <row r="32" spans="1:11">
      <c r="A32" s="450" t="s">
        <v>577</v>
      </c>
      <c r="B32" s="47"/>
      <c r="C32" s="48"/>
      <c r="D32" s="143" t="s">
        <v>395</v>
      </c>
    </row>
    <row r="33" spans="1:11">
      <c r="A33" s="44"/>
      <c r="B33" s="48"/>
      <c r="C33" s="48"/>
      <c r="D33" s="143"/>
    </row>
    <row r="34" spans="1:11" s="43" customFormat="1">
      <c r="A34" s="305" t="s">
        <v>575</v>
      </c>
      <c r="B34" s="514"/>
      <c r="C34" s="142" t="s">
        <v>183</v>
      </c>
      <c r="D34" s="145" t="s">
        <v>394</v>
      </c>
      <c r="I34"/>
    </row>
    <row r="35" spans="1:11" s="43" customFormat="1">
      <c r="A35" s="449" t="s">
        <v>71</v>
      </c>
      <c r="B35" s="47"/>
      <c r="D35" s="143" t="s">
        <v>395</v>
      </c>
      <c r="I35" s="1144"/>
      <c r="J35" s="1144"/>
    </row>
    <row r="36" spans="1:11" s="43" customFormat="1">
      <c r="A36" s="449" t="s">
        <v>540</v>
      </c>
      <c r="B36" s="47"/>
      <c r="D36" s="143" t="s">
        <v>395</v>
      </c>
      <c r="I36" s="1144"/>
      <c r="J36" s="1144"/>
    </row>
    <row r="37" spans="1:11" s="43" customFormat="1">
      <c r="A37" s="449" t="s">
        <v>78</v>
      </c>
      <c r="B37" s="47"/>
      <c r="D37" s="143" t="s">
        <v>395</v>
      </c>
      <c r="I37" s="1144"/>
      <c r="J37" s="1144"/>
    </row>
    <row r="38" spans="1:11" s="43" customFormat="1">
      <c r="A38" s="449" t="s">
        <v>541</v>
      </c>
      <c r="B38" s="47"/>
      <c r="D38" s="143" t="s">
        <v>395</v>
      </c>
      <c r="I38" s="1144"/>
      <c r="J38" s="1144"/>
      <c r="K38" s="58"/>
    </row>
    <row r="39" spans="1:11" s="43" customFormat="1">
      <c r="A39" s="449" t="s">
        <v>77</v>
      </c>
      <c r="B39" s="47"/>
      <c r="D39" s="143" t="s">
        <v>395</v>
      </c>
      <c r="I39" s="1144"/>
      <c r="J39" s="1145"/>
      <c r="K39" s="58"/>
    </row>
    <row r="40" spans="1:11" s="43" customFormat="1">
      <c r="A40" s="182" t="s">
        <v>542</v>
      </c>
      <c r="B40" s="48"/>
      <c r="D40" s="143" t="s">
        <v>395</v>
      </c>
      <c r="I40" s="306"/>
      <c r="J40" s="307"/>
      <c r="K40" s="58"/>
    </row>
    <row r="41" spans="1:11" s="43" customFormat="1">
      <c r="A41" s="182" t="s">
        <v>543</v>
      </c>
      <c r="B41" s="47"/>
      <c r="D41" s="143" t="s">
        <v>395</v>
      </c>
      <c r="I41" s="306"/>
      <c r="J41" s="307"/>
      <c r="K41" s="58"/>
    </row>
    <row r="42" spans="1:11" s="43" customFormat="1">
      <c r="A42" s="182" t="s">
        <v>544</v>
      </c>
      <c r="B42" s="47"/>
      <c r="D42" s="143" t="s">
        <v>395</v>
      </c>
      <c r="I42" s="306"/>
      <c r="J42" s="307"/>
      <c r="K42" s="58"/>
    </row>
    <row r="43" spans="1:11">
      <c r="A43" s="182" t="s">
        <v>545</v>
      </c>
      <c r="B43" s="47"/>
      <c r="C43" s="43"/>
      <c r="D43" s="143" t="s">
        <v>395</v>
      </c>
      <c r="I43" s="58"/>
      <c r="J43" s="58"/>
      <c r="K43" s="58"/>
    </row>
    <row r="44" spans="1:11">
      <c r="A44" s="182" t="s">
        <v>546</v>
      </c>
      <c r="B44" s="47"/>
      <c r="C44" s="43"/>
      <c r="D44" s="143" t="s">
        <v>395</v>
      </c>
      <c r="I44" s="58"/>
      <c r="J44" s="58"/>
      <c r="K44" s="58"/>
    </row>
    <row r="45" spans="1:11" s="15" customFormat="1" ht="21.75" thickBot="1">
      <c r="A45" s="980"/>
      <c r="B45" s="188"/>
      <c r="C45" s="155"/>
      <c r="D45" s="308"/>
      <c r="I45" s="58"/>
      <c r="J45" s="58"/>
      <c r="K45" s="58"/>
    </row>
    <row r="46" spans="1:11" s="15" customFormat="1">
      <c r="A46" s="58"/>
      <c r="B46" s="48"/>
      <c r="C46" s="32"/>
      <c r="D46" s="32"/>
      <c r="I46" s="58"/>
      <c r="J46" s="58"/>
      <c r="K46" s="58"/>
    </row>
    <row r="47" spans="1:11" ht="15.75" thickBot="1"/>
    <row r="48" spans="1:11" s="43" customFormat="1">
      <c r="A48" s="185" t="s">
        <v>393</v>
      </c>
      <c r="B48" s="513"/>
      <c r="C48" s="186"/>
      <c r="D48" s="187"/>
    </row>
    <row r="49" spans="1:4">
      <c r="A49" s="101"/>
      <c r="B49" s="514"/>
      <c r="C49" s="142" t="s">
        <v>183</v>
      </c>
      <c r="D49" s="145" t="s">
        <v>394</v>
      </c>
    </row>
    <row r="50" spans="1:4">
      <c r="A50" s="44" t="s">
        <v>579</v>
      </c>
      <c r="B50" s="47"/>
      <c r="C50" s="32"/>
      <c r="D50" s="144" t="s">
        <v>396</v>
      </c>
    </row>
    <row r="51" spans="1:4">
      <c r="A51" s="44" t="s">
        <v>580</v>
      </c>
      <c r="B51" s="47"/>
      <c r="C51" s="32"/>
      <c r="D51" s="144" t="s">
        <v>396</v>
      </c>
    </row>
    <row r="52" spans="1:4" ht="15.75" thickBot="1">
      <c r="A52" s="45"/>
      <c r="B52" s="188"/>
      <c r="C52" s="155"/>
      <c r="D52" s="193"/>
    </row>
    <row r="54" spans="1:4" ht="15.75" thickBot="1"/>
    <row r="55" spans="1:4" s="43" customFormat="1">
      <c r="A55" s="185" t="s">
        <v>537</v>
      </c>
      <c r="B55" s="513"/>
      <c r="C55" s="186"/>
      <c r="D55" s="187"/>
    </row>
    <row r="56" spans="1:4">
      <c r="A56" s="101"/>
      <c r="B56" s="514"/>
      <c r="C56" s="142" t="s">
        <v>183</v>
      </c>
      <c r="D56" s="145" t="s">
        <v>394</v>
      </c>
    </row>
    <row r="57" spans="1:4">
      <c r="A57" s="44" t="s">
        <v>581</v>
      </c>
      <c r="B57" s="47"/>
      <c r="C57" s="32"/>
      <c r="D57" s="143" t="s">
        <v>155</v>
      </c>
    </row>
    <row r="58" spans="1:4">
      <c r="A58" s="44" t="s">
        <v>582</v>
      </c>
      <c r="B58" s="47"/>
      <c r="C58" s="32"/>
      <c r="D58" s="143" t="s">
        <v>156</v>
      </c>
    </row>
    <row r="59" spans="1:4">
      <c r="A59" s="44" t="s">
        <v>583</v>
      </c>
      <c r="B59" s="47"/>
      <c r="C59" s="48"/>
      <c r="D59" s="143" t="s">
        <v>392</v>
      </c>
    </row>
    <row r="60" spans="1:4">
      <c r="A60" s="44" t="s">
        <v>584</v>
      </c>
      <c r="B60" s="47"/>
      <c r="C60" s="48"/>
      <c r="D60" s="143" t="s">
        <v>112</v>
      </c>
    </row>
    <row r="61" spans="1:4">
      <c r="A61" s="44"/>
      <c r="B61" s="48"/>
      <c r="C61" s="48"/>
      <c r="D61" s="143"/>
    </row>
    <row r="62" spans="1:4" ht="21.75" thickBot="1">
      <c r="A62" s="190" t="s">
        <v>539</v>
      </c>
      <c r="B62" s="188"/>
      <c r="C62" s="188"/>
      <c r="D62" s="189"/>
    </row>
    <row r="63" spans="1:4" s="43"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61" t="s">
        <v>601</v>
      </c>
      <c r="B1" s="662"/>
      <c r="C1" s="662"/>
      <c r="D1" s="662"/>
      <c r="E1" s="663"/>
    </row>
    <row r="2" spans="1:5">
      <c r="A2" s="674" t="s">
        <v>397</v>
      </c>
      <c r="B2" s="679" t="s">
        <v>527</v>
      </c>
      <c r="C2" s="675"/>
      <c r="D2" s="675"/>
      <c r="E2" s="676"/>
    </row>
    <row r="3" spans="1:5">
      <c r="A3" s="677"/>
      <c r="B3" s="678"/>
      <c r="C3" s="666"/>
      <c r="D3" s="666"/>
      <c r="E3" s="667"/>
    </row>
    <row r="4" spans="1:5" s="333" customFormat="1" ht="45">
      <c r="A4" s="665" t="s">
        <v>605</v>
      </c>
      <c r="B4" s="673" t="s">
        <v>594</v>
      </c>
      <c r="C4" s="694" t="s">
        <v>616</v>
      </c>
      <c r="D4" s="695" t="s">
        <v>617</v>
      </c>
      <c r="E4" s="696" t="s">
        <v>618</v>
      </c>
    </row>
    <row r="5" spans="1:5">
      <c r="A5" s="668" t="s">
        <v>595</v>
      </c>
      <c r="B5" s="660" t="s">
        <v>596</v>
      </c>
      <c r="C5" s="691">
        <v>3.678273E-2</v>
      </c>
      <c r="D5" s="692">
        <v>0.27778000000000003</v>
      </c>
      <c r="E5" s="684">
        <f>C5*D5</f>
        <v>1.0217506739400001E-2</v>
      </c>
    </row>
    <row r="6" spans="1:5">
      <c r="A6" s="668" t="s">
        <v>595</v>
      </c>
      <c r="B6" s="660" t="s">
        <v>597</v>
      </c>
      <c r="C6" s="691">
        <v>4.2278999999999997E-2</v>
      </c>
      <c r="D6" s="692">
        <v>0.27778000000000003</v>
      </c>
      <c r="E6" s="684">
        <f t="shared" ref="E6:E21" si="0">C6*D6</f>
        <v>1.174426062E-2</v>
      </c>
    </row>
    <row r="7" spans="1:5">
      <c r="A7" s="668" t="s">
        <v>595</v>
      </c>
      <c r="B7" s="660" t="s">
        <v>598</v>
      </c>
      <c r="C7" s="691">
        <v>42.279000000000003</v>
      </c>
      <c r="D7" s="692">
        <v>0.27778000000000003</v>
      </c>
      <c r="E7" s="684">
        <f t="shared" si="0"/>
        <v>11.744260620000002</v>
      </c>
    </row>
    <row r="8" spans="1:5">
      <c r="A8" s="668" t="s">
        <v>599</v>
      </c>
      <c r="B8" s="660" t="s">
        <v>596</v>
      </c>
      <c r="C8" s="691">
        <v>3.8573799999999998E-2</v>
      </c>
      <c r="D8" s="692">
        <v>0.27778000000000003</v>
      </c>
      <c r="E8" s="684">
        <f t="shared" si="0"/>
        <v>1.0715030164E-2</v>
      </c>
    </row>
    <row r="9" spans="1:5">
      <c r="A9" s="668" t="s">
        <v>599</v>
      </c>
      <c r="B9" s="660" t="s">
        <v>597</v>
      </c>
      <c r="C9" s="691">
        <v>4.0604000000000001E-2</v>
      </c>
      <c r="D9" s="692">
        <v>0.27778000000000003</v>
      </c>
      <c r="E9" s="684">
        <f t="shared" si="0"/>
        <v>1.1278979120000001E-2</v>
      </c>
    </row>
    <row r="10" spans="1:5">
      <c r="A10" s="668" t="s">
        <v>599</v>
      </c>
      <c r="B10" s="660" t="s">
        <v>598</v>
      </c>
      <c r="C10" s="691">
        <v>40.603999999999999</v>
      </c>
      <c r="D10" s="692">
        <v>0.27778000000000003</v>
      </c>
      <c r="E10" s="684">
        <f t="shared" si="0"/>
        <v>11.278979120000001</v>
      </c>
    </row>
    <row r="11" spans="1:5">
      <c r="A11" s="668" t="s">
        <v>619</v>
      </c>
      <c r="B11" s="660" t="s">
        <v>596</v>
      </c>
      <c r="C11" s="691">
        <v>2.3511000000000001E-2</v>
      </c>
      <c r="D11" s="692">
        <v>0.27778000000000003</v>
      </c>
      <c r="E11" s="684">
        <f t="shared" si="0"/>
        <v>6.5308855800000004E-3</v>
      </c>
    </row>
    <row r="12" spans="1:5">
      <c r="A12" s="668" t="s">
        <v>619</v>
      </c>
      <c r="B12" s="660" t="s">
        <v>597</v>
      </c>
      <c r="C12" s="691">
        <v>4.6100000000000002E-2</v>
      </c>
      <c r="D12" s="692">
        <v>0.27778000000000003</v>
      </c>
      <c r="E12" s="684">
        <f t="shared" si="0"/>
        <v>1.2805658000000001E-2</v>
      </c>
    </row>
    <row r="13" spans="1:5">
      <c r="A13" s="668" t="s">
        <v>619</v>
      </c>
      <c r="B13" s="660" t="s">
        <v>598</v>
      </c>
      <c r="C13" s="691">
        <v>46.1</v>
      </c>
      <c r="D13" s="692">
        <v>0.27778000000000003</v>
      </c>
      <c r="E13" s="684">
        <f t="shared" si="0"/>
        <v>12.805658000000001</v>
      </c>
    </row>
    <row r="14" spans="1:5">
      <c r="A14" s="668" t="s">
        <v>620</v>
      </c>
      <c r="B14" s="660" t="s">
        <v>596</v>
      </c>
      <c r="C14" s="691">
        <v>2.6525139999999999E-2</v>
      </c>
      <c r="D14" s="692">
        <v>0.27778000000000003</v>
      </c>
      <c r="E14" s="684">
        <f t="shared" si="0"/>
        <v>7.3681533892000009E-3</v>
      </c>
    </row>
    <row r="15" spans="1:5">
      <c r="A15" s="668" t="s">
        <v>620</v>
      </c>
      <c r="B15" s="660" t="s">
        <v>597</v>
      </c>
      <c r="C15" s="691">
        <v>4.5733000000000003E-2</v>
      </c>
      <c r="D15" s="692">
        <v>0.27778000000000003</v>
      </c>
      <c r="E15" s="684">
        <f t="shared" si="0"/>
        <v>1.2703712740000001E-2</v>
      </c>
    </row>
    <row r="16" spans="1:5">
      <c r="A16" s="668" t="s">
        <v>620</v>
      </c>
      <c r="B16" s="660" t="s">
        <v>598</v>
      </c>
      <c r="C16" s="691">
        <v>45.732999999999997</v>
      </c>
      <c r="D16" s="692">
        <v>0.27778000000000003</v>
      </c>
      <c r="E16" s="684">
        <f t="shared" si="0"/>
        <v>12.70371274</v>
      </c>
    </row>
    <row r="17" spans="1:10">
      <c r="A17" s="668" t="s">
        <v>603</v>
      </c>
      <c r="B17" s="660" t="s">
        <v>600</v>
      </c>
      <c r="C17" s="691">
        <v>3.2923000000000001E-2</v>
      </c>
      <c r="D17" s="692">
        <f>0.27778</f>
        <v>0.27778000000000003</v>
      </c>
      <c r="E17" s="684">
        <f t="shared" si="0"/>
        <v>9.1453509400000015E-3</v>
      </c>
    </row>
    <row r="18" spans="1:10">
      <c r="A18" s="668" t="s">
        <v>604</v>
      </c>
      <c r="B18" s="660" t="s">
        <v>600</v>
      </c>
      <c r="C18" s="691">
        <v>3.8852400000000002E-2</v>
      </c>
      <c r="D18" s="692">
        <f>0.27778</f>
        <v>0.27778000000000003</v>
      </c>
      <c r="E18" s="684">
        <f t="shared" si="0"/>
        <v>1.0792419672000002E-2</v>
      </c>
    </row>
    <row r="19" spans="1:10">
      <c r="A19" s="668" t="s">
        <v>607</v>
      </c>
      <c r="B19" s="660" t="s">
        <v>596</v>
      </c>
      <c r="C19" s="691">
        <v>2.4812460000000001E-2</v>
      </c>
      <c r="D19" s="692">
        <v>0.27778000000000003</v>
      </c>
      <c r="E19" s="684">
        <f t="shared" si="0"/>
        <v>6.8924051388000009E-3</v>
      </c>
    </row>
    <row r="20" spans="1:10">
      <c r="A20" s="668" t="s">
        <v>607</v>
      </c>
      <c r="B20" s="660" t="s">
        <v>597</v>
      </c>
      <c r="C20" s="691">
        <v>4.5948999999999997E-2</v>
      </c>
      <c r="D20" s="692">
        <v>0.27778000000000003</v>
      </c>
      <c r="E20" s="684">
        <f t="shared" si="0"/>
        <v>1.276371322E-2</v>
      </c>
    </row>
    <row r="21" spans="1:10">
      <c r="A21" s="668" t="s">
        <v>607</v>
      </c>
      <c r="B21" s="660" t="s">
        <v>598</v>
      </c>
      <c r="C21" s="691">
        <v>45.948999999999998</v>
      </c>
      <c r="D21" s="692">
        <v>0.27778000000000003</v>
      </c>
      <c r="E21" s="684">
        <f t="shared" si="0"/>
        <v>12.763713220000001</v>
      </c>
    </row>
    <row r="22" spans="1:10" ht="15.75" thickBot="1">
      <c r="A22" s="689"/>
      <c r="B22" s="671"/>
      <c r="C22" s="693"/>
      <c r="D22" s="693"/>
      <c r="E22" s="672"/>
    </row>
    <row r="23" spans="1:10" ht="15.75" thickBot="1">
      <c r="A23" s="664"/>
      <c r="B23" s="664"/>
      <c r="C23" s="664"/>
      <c r="D23" s="664"/>
      <c r="E23" s="664"/>
    </row>
    <row r="24" spans="1:10" ht="15.75" thickBot="1">
      <c r="A24" s="661" t="s">
        <v>602</v>
      </c>
      <c r="B24" s="662"/>
      <c r="C24" s="662"/>
      <c r="D24" s="662"/>
      <c r="E24" s="663"/>
    </row>
    <row r="25" spans="1:10">
      <c r="A25" s="688" t="s">
        <v>397</v>
      </c>
      <c r="B25" s="666" t="s">
        <v>749</v>
      </c>
      <c r="C25" s="666"/>
      <c r="D25" s="666"/>
      <c r="E25" s="667"/>
    </row>
    <row r="26" spans="1:10">
      <c r="A26" s="44"/>
      <c r="B26" s="43"/>
      <c r="C26" s="43"/>
      <c r="D26" s="43"/>
      <c r="E26" s="96"/>
    </row>
    <row r="27" spans="1:10" s="333" customFormat="1">
      <c r="A27" s="665" t="s">
        <v>605</v>
      </c>
      <c r="B27" s="673" t="s">
        <v>594</v>
      </c>
      <c r="C27" s="681"/>
      <c r="D27" s="680"/>
      <c r="E27" s="696" t="s">
        <v>609</v>
      </c>
    </row>
    <row r="28" spans="1:10">
      <c r="A28" s="668" t="s">
        <v>203</v>
      </c>
      <c r="B28" s="660" t="s">
        <v>596</v>
      </c>
      <c r="C28" s="682"/>
      <c r="D28" s="683"/>
      <c r="E28" s="690">
        <f>E29*0.853</f>
        <v>1.0116343055555555E-2</v>
      </c>
      <c r="G28" s="840"/>
      <c r="H28" s="949"/>
      <c r="I28" s="840"/>
      <c r="J28" s="840"/>
    </row>
    <row r="29" spans="1:10">
      <c r="A29" s="668" t="s">
        <v>203</v>
      </c>
      <c r="B29" s="660" t="s">
        <v>597</v>
      </c>
      <c r="C29" s="682"/>
      <c r="D29" s="683"/>
      <c r="E29" s="690">
        <f>0.042695/3.6</f>
        <v>1.1859722222222221E-2</v>
      </c>
      <c r="G29" s="947"/>
      <c r="H29" s="949"/>
      <c r="I29" s="840"/>
      <c r="J29" s="840"/>
    </row>
    <row r="30" spans="1:10">
      <c r="A30" s="668" t="s">
        <v>120</v>
      </c>
      <c r="B30" s="660" t="s">
        <v>596</v>
      </c>
      <c r="C30" s="682"/>
      <c r="D30" s="683"/>
      <c r="E30" s="690">
        <f>E31*0.755</f>
        <v>9.1803805555555566E-3</v>
      </c>
      <c r="G30" s="840"/>
      <c r="H30" s="949"/>
      <c r="I30" s="840"/>
      <c r="J30" s="840"/>
    </row>
    <row r="31" spans="1:10">
      <c r="A31" s="668" t="s">
        <v>120</v>
      </c>
      <c r="B31" s="660" t="s">
        <v>597</v>
      </c>
      <c r="C31" s="682"/>
      <c r="D31" s="683"/>
      <c r="E31" s="690">
        <f>0.043774/3.6</f>
        <v>1.2159444444444445E-2</v>
      </c>
      <c r="G31" s="840"/>
      <c r="H31" s="840"/>
      <c r="I31" s="840"/>
      <c r="J31" s="840"/>
    </row>
    <row r="32" spans="1:10">
      <c r="A32" s="668" t="s">
        <v>607</v>
      </c>
      <c r="B32" s="660" t="s">
        <v>596</v>
      </c>
      <c r="C32" s="682"/>
      <c r="D32" s="683"/>
      <c r="E32" s="690">
        <f>E33*0.55</f>
        <v>7.1139444444444453E-3</v>
      </c>
      <c r="G32" s="840"/>
      <c r="H32" s="949"/>
    </row>
    <row r="33" spans="1:8">
      <c r="A33" s="668" t="s">
        <v>607</v>
      </c>
      <c r="B33" s="660" t="s">
        <v>597</v>
      </c>
      <c r="C33" s="682"/>
      <c r="D33" s="683"/>
      <c r="E33" s="690">
        <f>0.046564/3.6</f>
        <v>1.2934444444444445E-2</v>
      </c>
      <c r="G33" s="840"/>
      <c r="H33" s="949"/>
    </row>
    <row r="34" spans="1:8">
      <c r="A34" s="668" t="s">
        <v>608</v>
      </c>
      <c r="B34" s="660" t="s">
        <v>596</v>
      </c>
      <c r="C34" s="682"/>
      <c r="D34" s="683"/>
      <c r="E34" s="690">
        <f>E35*0.0007</f>
        <v>9.3333333333333326E-6</v>
      </c>
      <c r="G34" s="840"/>
      <c r="H34" s="948"/>
    </row>
    <row r="35" spans="1:8">
      <c r="A35" s="668" t="s">
        <v>608</v>
      </c>
      <c r="B35" s="660" t="s">
        <v>597</v>
      </c>
      <c r="C35" s="682"/>
      <c r="D35" s="683"/>
      <c r="E35" s="690">
        <f>0.048/3.6</f>
        <v>1.3333333333333332E-2</v>
      </c>
      <c r="G35" s="840"/>
    </row>
    <row r="36" spans="1:8" ht="15.75" thickBot="1">
      <c r="A36" s="669"/>
      <c r="B36" s="670"/>
      <c r="C36" s="685"/>
      <c r="D36" s="686"/>
      <c r="E36" s="687"/>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365</v>
      </c>
      <c r="B4" s="69" t="s">
        <v>377</v>
      </c>
      <c r="C4" s="100" t="s">
        <v>376</v>
      </c>
    </row>
    <row r="5" spans="1:3">
      <c r="A5" s="112"/>
      <c r="B5" s="43"/>
      <c r="C5" s="96"/>
    </row>
    <row r="6" spans="1:3" s="11" customFormat="1">
      <c r="A6" s="113" t="s">
        <v>461</v>
      </c>
      <c r="B6" s="130" t="s">
        <v>462</v>
      </c>
      <c r="C6" s="131" t="s">
        <v>464</v>
      </c>
    </row>
    <row r="7" spans="1:3" s="11" customFormat="1">
      <c r="A7" s="123"/>
      <c r="B7" s="159"/>
      <c r="C7" s="160" t="s">
        <v>621</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7" t="s">
        <v>521</v>
      </c>
    </row>
    <row r="12" spans="1:3" s="11" customFormat="1">
      <c r="A12" s="132"/>
      <c r="B12" s="133"/>
      <c r="C12" s="134"/>
    </row>
    <row r="13" spans="1:3" s="11" customFormat="1" ht="18">
      <c r="A13" s="113" t="s">
        <v>468</v>
      </c>
      <c r="B13" s="130" t="s">
        <v>469</v>
      </c>
      <c r="C13" s="158"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396</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711</v>
      </c>
      <c r="C21" s="131" t="s">
        <v>589</v>
      </c>
    </row>
    <row r="22" spans="1:3" s="11" customFormat="1">
      <c r="A22" s="141"/>
      <c r="B22" s="159"/>
      <c r="C22" s="160"/>
    </row>
    <row r="23" spans="1:3" ht="21">
      <c r="A23" s="126" t="s">
        <v>478</v>
      </c>
      <c r="B23" s="125"/>
      <c r="C23" s="122"/>
    </row>
    <row r="29" spans="1:3">
      <c r="B29" t="s">
        <v>237</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72038</v>
      </c>
      <c r="B1" s="1240"/>
      <c r="C1" s="1240"/>
      <c r="D1" s="1240"/>
      <c r="E1" s="1240"/>
      <c r="F1" s="1241"/>
    </row>
    <row r="3" spans="1:6" ht="19.5">
      <c r="A3" s="1242" t="s">
        <v>0</v>
      </c>
    </row>
    <row r="4" spans="1:6" ht="22.5">
      <c r="A4" s="1243" t="s">
        <v>922</v>
      </c>
    </row>
    <row r="5" spans="1:6" ht="22.5">
      <c r="A5" s="1243" t="s">
        <v>923</v>
      </c>
    </row>
    <row r="6" spans="1:6" ht="15.75" thickBot="1"/>
    <row r="7" spans="1:6" ht="20.25" thickBot="1">
      <c r="A7" s="1244" t="s">
        <v>1</v>
      </c>
      <c r="B7" s="334" t="s">
        <v>397</v>
      </c>
      <c r="C7" s="334" t="s">
        <v>924</v>
      </c>
      <c r="D7" s="334"/>
      <c r="E7" s="334"/>
      <c r="F7" s="335"/>
    </row>
    <row r="8" spans="1:6" ht="16.5" thickTop="1" thickBot="1">
      <c r="A8" s="1245" t="s">
        <v>4</v>
      </c>
      <c r="B8" s="1246">
        <v>2011</v>
      </c>
      <c r="C8" s="1246">
        <v>2020</v>
      </c>
      <c r="D8" s="1240"/>
      <c r="E8" s="1240"/>
      <c r="F8" s="1241"/>
    </row>
    <row r="9" spans="1:6">
      <c r="A9" s="1247" t="s">
        <v>2</v>
      </c>
      <c r="B9" s="336">
        <v>4686</v>
      </c>
      <c r="C9" s="336">
        <v>4965</v>
      </c>
      <c r="D9" s="336"/>
      <c r="E9" s="336"/>
      <c r="F9" s="336"/>
    </row>
    <row r="10" spans="1:6">
      <c r="A10" s="337"/>
    </row>
    <row r="11" spans="1:6" ht="15.75" thickBot="1">
      <c r="A11" s="337"/>
    </row>
    <row r="12" spans="1:6" ht="20.25" thickBot="1">
      <c r="A12" s="1244" t="s">
        <v>3</v>
      </c>
      <c r="B12" s="334" t="s">
        <v>397</v>
      </c>
      <c r="C12" s="334" t="s">
        <v>636</v>
      </c>
      <c r="D12" s="334"/>
      <c r="E12" s="334"/>
      <c r="F12" s="338"/>
    </row>
    <row r="13" spans="1:6" ht="16.5" thickTop="1" thickBot="1">
      <c r="A13" s="1248" t="s">
        <v>4</v>
      </c>
      <c r="B13" s="1249" t="s">
        <v>5</v>
      </c>
      <c r="C13" s="1249"/>
      <c r="D13" s="1249"/>
      <c r="E13" s="1249"/>
      <c r="F13" s="1250"/>
    </row>
    <row r="14" spans="1:6">
      <c r="A14" s="1251" t="s">
        <v>794</v>
      </c>
      <c r="B14" s="333">
        <v>1854</v>
      </c>
    </row>
    <row r="15" spans="1:6">
      <c r="A15" s="1251" t="s">
        <v>185</v>
      </c>
      <c r="B15" s="333">
        <v>450</v>
      </c>
    </row>
    <row r="16" spans="1:6">
      <c r="A16" s="1251" t="s">
        <v>6</v>
      </c>
      <c r="B16" s="333">
        <v>231</v>
      </c>
    </row>
    <row r="17" spans="1:6">
      <c r="A17" s="1251" t="s">
        <v>7</v>
      </c>
      <c r="B17" s="333">
        <v>119</v>
      </c>
    </row>
    <row r="18" spans="1:6">
      <c r="A18" s="1251" t="s">
        <v>8</v>
      </c>
      <c r="B18" s="333">
        <v>211</v>
      </c>
    </row>
    <row r="19" spans="1:6">
      <c r="A19" s="1251" t="s">
        <v>9</v>
      </c>
      <c r="B19" s="333">
        <v>171</v>
      </c>
    </row>
    <row r="20" spans="1:6">
      <c r="A20" s="1251" t="s">
        <v>10</v>
      </c>
      <c r="B20" s="333">
        <v>148</v>
      </c>
    </row>
    <row r="21" spans="1:6">
      <c r="A21" s="1251" t="s">
        <v>11</v>
      </c>
      <c r="B21" s="333">
        <v>1093</v>
      </c>
    </row>
    <row r="22" spans="1:6">
      <c r="A22" s="1251" t="s">
        <v>12</v>
      </c>
      <c r="B22" s="333">
        <v>2305</v>
      </c>
    </row>
    <row r="23" spans="1:6">
      <c r="A23" s="1251" t="s">
        <v>13</v>
      </c>
      <c r="B23" s="333">
        <v>47</v>
      </c>
    </row>
    <row r="24" spans="1:6">
      <c r="A24" s="1251" t="s">
        <v>14</v>
      </c>
      <c r="B24" s="333">
        <v>2</v>
      </c>
    </row>
    <row r="25" spans="1:6">
      <c r="A25" s="1251" t="s">
        <v>15</v>
      </c>
      <c r="B25" s="333">
        <v>339</v>
      </c>
    </row>
    <row r="26" spans="1:6">
      <c r="A26" s="1251" t="s">
        <v>16</v>
      </c>
      <c r="B26" s="333">
        <v>0</v>
      </c>
    </row>
    <row r="27" spans="1:6">
      <c r="A27" s="1251" t="s">
        <v>17</v>
      </c>
      <c r="B27" s="333">
        <v>1</v>
      </c>
    </row>
    <row r="28" spans="1:6">
      <c r="A28" s="1251" t="s">
        <v>18</v>
      </c>
      <c r="B28" s="333">
        <v>29680</v>
      </c>
    </row>
    <row r="29" spans="1:6">
      <c r="A29" s="1251" t="s">
        <v>925</v>
      </c>
      <c r="B29" s="333">
        <v>157</v>
      </c>
    </row>
    <row r="30" spans="1:6">
      <c r="A30" s="1247" t="s">
        <v>926</v>
      </c>
      <c r="B30" s="1247">
        <v>24</v>
      </c>
      <c r="C30" s="336"/>
      <c r="D30" s="336"/>
      <c r="E30" s="336"/>
      <c r="F30" s="336"/>
    </row>
    <row r="31" spans="1:6" ht="15.75" thickBot="1">
      <c r="A31" s="337"/>
    </row>
    <row r="32" spans="1:6" ht="20.25" thickBot="1">
      <c r="A32" s="1244" t="s">
        <v>19</v>
      </c>
      <c r="B32" s="334" t="s">
        <v>397</v>
      </c>
      <c r="C32" s="334" t="s">
        <v>927</v>
      </c>
      <c r="D32" s="334"/>
      <c r="E32" s="334"/>
      <c r="F32" s="338"/>
    </row>
    <row r="33" spans="1:6" ht="16.5" thickTop="1" thickBot="1">
      <c r="A33" s="1252"/>
      <c r="B33" s="1253"/>
      <c r="C33" s="1253" t="s">
        <v>20</v>
      </c>
      <c r="D33" s="1253"/>
      <c r="E33" s="1253" t="s">
        <v>21</v>
      </c>
      <c r="F33" s="1254"/>
    </row>
    <row r="34" spans="1:6" ht="16.5" thickTop="1" thickBot="1">
      <c r="A34" s="1255" t="s">
        <v>22</v>
      </c>
      <c r="B34" s="1256" t="s">
        <v>23</v>
      </c>
      <c r="C34" s="1256" t="s">
        <v>5</v>
      </c>
      <c r="D34" s="1256" t="s">
        <v>24</v>
      </c>
      <c r="E34" s="1256" t="s">
        <v>5</v>
      </c>
      <c r="F34" s="1257" t="s">
        <v>24</v>
      </c>
    </row>
    <row r="35" spans="1:6">
      <c r="A35" s="1251" t="s">
        <v>25</v>
      </c>
      <c r="B35" s="1251" t="s">
        <v>26</v>
      </c>
      <c r="C35" s="333">
        <v>0</v>
      </c>
      <c r="D35" s="333">
        <v>0</v>
      </c>
      <c r="E35" s="333">
        <v>0</v>
      </c>
      <c r="F35" s="333">
        <v>0</v>
      </c>
    </row>
    <row r="36" spans="1:6">
      <c r="A36" s="1251" t="s">
        <v>25</v>
      </c>
      <c r="B36" s="1251" t="s">
        <v>27</v>
      </c>
      <c r="C36" s="333">
        <v>0</v>
      </c>
      <c r="D36" s="333">
        <v>0</v>
      </c>
      <c r="E36" s="333">
        <v>3</v>
      </c>
      <c r="F36" s="333">
        <v>16708</v>
      </c>
    </row>
    <row r="37" spans="1:6">
      <c r="A37" s="1251" t="s">
        <v>25</v>
      </c>
      <c r="B37" s="1251" t="s">
        <v>28</v>
      </c>
      <c r="C37" s="333">
        <v>0</v>
      </c>
      <c r="D37" s="333">
        <v>0</v>
      </c>
      <c r="E37" s="333">
        <v>0</v>
      </c>
      <c r="F37" s="333">
        <v>0</v>
      </c>
    </row>
    <row r="38" spans="1:6">
      <c r="A38" s="1251" t="s">
        <v>25</v>
      </c>
      <c r="B38" s="1251" t="s">
        <v>29</v>
      </c>
      <c r="C38" s="333">
        <v>0</v>
      </c>
      <c r="D38" s="333">
        <v>0</v>
      </c>
      <c r="E38" s="333">
        <v>0</v>
      </c>
      <c r="F38" s="333">
        <v>0</v>
      </c>
    </row>
    <row r="39" spans="1:6">
      <c r="A39" s="1251" t="s">
        <v>30</v>
      </c>
      <c r="B39" s="1251" t="s">
        <v>31</v>
      </c>
      <c r="C39" s="333">
        <v>1952</v>
      </c>
      <c r="D39" s="333">
        <v>34797376</v>
      </c>
      <c r="E39" s="333">
        <v>4855</v>
      </c>
      <c r="F39" s="333">
        <v>21570357</v>
      </c>
    </row>
    <row r="40" spans="1:6">
      <c r="A40" s="1251" t="s">
        <v>30</v>
      </c>
      <c r="B40" s="1251" t="s">
        <v>29</v>
      </c>
      <c r="C40" s="333">
        <v>0</v>
      </c>
      <c r="D40" s="333">
        <v>0</v>
      </c>
      <c r="E40" s="333">
        <v>0</v>
      </c>
      <c r="F40" s="333">
        <v>0</v>
      </c>
    </row>
    <row r="41" spans="1:6">
      <c r="A41" s="1251" t="s">
        <v>32</v>
      </c>
      <c r="B41" s="1251" t="s">
        <v>33</v>
      </c>
      <c r="C41" s="333">
        <v>29</v>
      </c>
      <c r="D41" s="333">
        <v>827070</v>
      </c>
      <c r="E41" s="333">
        <v>93</v>
      </c>
      <c r="F41" s="333">
        <v>1612073</v>
      </c>
    </row>
    <row r="42" spans="1:6">
      <c r="A42" s="1251" t="s">
        <v>32</v>
      </c>
      <c r="B42" s="1251" t="s">
        <v>34</v>
      </c>
      <c r="C42" s="333">
        <v>0</v>
      </c>
      <c r="D42" s="333">
        <v>0</v>
      </c>
      <c r="E42" s="333">
        <v>0</v>
      </c>
      <c r="F42" s="333">
        <v>0</v>
      </c>
    </row>
    <row r="43" spans="1:6">
      <c r="A43" s="1251" t="s">
        <v>32</v>
      </c>
      <c r="B43" s="1251" t="s">
        <v>35</v>
      </c>
      <c r="C43" s="333">
        <v>0</v>
      </c>
      <c r="D43" s="333">
        <v>0</v>
      </c>
      <c r="E43" s="333">
        <v>0</v>
      </c>
      <c r="F43" s="333">
        <v>0</v>
      </c>
    </row>
    <row r="44" spans="1:6">
      <c r="A44" s="1251" t="s">
        <v>32</v>
      </c>
      <c r="B44" s="1251" t="s">
        <v>36</v>
      </c>
      <c r="C44" s="333">
        <v>4</v>
      </c>
      <c r="D44" s="333">
        <v>840541</v>
      </c>
      <c r="E44" s="333">
        <v>16</v>
      </c>
      <c r="F44" s="333">
        <v>921305</v>
      </c>
    </row>
    <row r="45" spans="1:6">
      <c r="A45" s="1251" t="s">
        <v>32</v>
      </c>
      <c r="B45" s="1251" t="s">
        <v>37</v>
      </c>
      <c r="C45" s="333">
        <v>0</v>
      </c>
      <c r="D45" s="333">
        <v>0</v>
      </c>
      <c r="E45" s="333">
        <v>0</v>
      </c>
      <c r="F45" s="333">
        <v>0</v>
      </c>
    </row>
    <row r="46" spans="1:6">
      <c r="A46" s="1251" t="s">
        <v>32</v>
      </c>
      <c r="B46" s="1251" t="s">
        <v>38</v>
      </c>
      <c r="C46" s="333">
        <v>0</v>
      </c>
      <c r="D46" s="333">
        <v>0</v>
      </c>
      <c r="E46" s="333">
        <v>0</v>
      </c>
      <c r="F46" s="333">
        <v>0</v>
      </c>
    </row>
    <row r="47" spans="1:6">
      <c r="A47" s="1251" t="s">
        <v>32</v>
      </c>
      <c r="B47" s="1251" t="s">
        <v>39</v>
      </c>
      <c r="C47" s="333">
        <v>0</v>
      </c>
      <c r="D47" s="333">
        <v>0</v>
      </c>
      <c r="E47" s="333">
        <v>0</v>
      </c>
      <c r="F47" s="333">
        <v>0</v>
      </c>
    </row>
    <row r="48" spans="1:6">
      <c r="A48" s="1251" t="s">
        <v>32</v>
      </c>
      <c r="B48" s="1251" t="s">
        <v>29</v>
      </c>
      <c r="C48" s="333">
        <v>0</v>
      </c>
      <c r="D48" s="333">
        <v>0</v>
      </c>
      <c r="E48" s="333">
        <v>4</v>
      </c>
      <c r="F48" s="333">
        <v>79727</v>
      </c>
    </row>
    <row r="49" spans="1:6">
      <c r="A49" s="1251" t="s">
        <v>32</v>
      </c>
      <c r="B49" s="1251" t="s">
        <v>40</v>
      </c>
      <c r="C49" s="333">
        <v>0</v>
      </c>
      <c r="D49" s="333">
        <v>0</v>
      </c>
      <c r="E49" s="333">
        <v>0</v>
      </c>
      <c r="F49" s="333">
        <v>0</v>
      </c>
    </row>
    <row r="50" spans="1:6">
      <c r="A50" s="1251" t="s">
        <v>32</v>
      </c>
      <c r="B50" s="1251" t="s">
        <v>41</v>
      </c>
      <c r="C50" s="333">
        <v>5</v>
      </c>
      <c r="D50" s="333">
        <v>218363</v>
      </c>
      <c r="E50" s="333">
        <v>9</v>
      </c>
      <c r="F50" s="333">
        <v>309364</v>
      </c>
    </row>
    <row r="51" spans="1:6">
      <c r="A51" s="1251" t="s">
        <v>42</v>
      </c>
      <c r="B51" s="1251" t="s">
        <v>43</v>
      </c>
      <c r="C51" s="333">
        <v>0</v>
      </c>
      <c r="D51" s="333">
        <v>0</v>
      </c>
      <c r="E51" s="333">
        <v>21</v>
      </c>
      <c r="F51" s="333">
        <v>464586</v>
      </c>
    </row>
    <row r="52" spans="1:6">
      <c r="A52" s="1251" t="s">
        <v>42</v>
      </c>
      <c r="B52" s="1251" t="s">
        <v>29</v>
      </c>
      <c r="C52" s="333">
        <v>2</v>
      </c>
      <c r="D52" s="333">
        <v>54973</v>
      </c>
      <c r="E52" s="333">
        <v>0</v>
      </c>
      <c r="F52" s="333">
        <v>0</v>
      </c>
    </row>
    <row r="53" spans="1:6">
      <c r="A53" s="1251" t="s">
        <v>44</v>
      </c>
      <c r="B53" s="1251" t="s">
        <v>45</v>
      </c>
      <c r="C53" s="333">
        <v>0</v>
      </c>
      <c r="D53" s="333">
        <v>0</v>
      </c>
      <c r="E53" s="333">
        <v>0</v>
      </c>
      <c r="F53" s="333">
        <v>0</v>
      </c>
    </row>
    <row r="54" spans="1:6">
      <c r="A54" s="1251" t="s">
        <v>46</v>
      </c>
      <c r="B54" s="1251" t="s">
        <v>47</v>
      </c>
      <c r="C54" s="333">
        <v>0</v>
      </c>
      <c r="D54" s="333">
        <v>0</v>
      </c>
      <c r="E54" s="333">
        <v>64</v>
      </c>
      <c r="F54" s="333">
        <v>795350</v>
      </c>
    </row>
    <row r="55" spans="1:6">
      <c r="A55" s="1251" t="s">
        <v>46</v>
      </c>
      <c r="B55" s="1251" t="s">
        <v>29</v>
      </c>
      <c r="C55" s="333">
        <v>0</v>
      </c>
      <c r="D55" s="333">
        <v>0</v>
      </c>
      <c r="E55" s="333">
        <v>0</v>
      </c>
      <c r="F55" s="333">
        <v>0</v>
      </c>
    </row>
    <row r="56" spans="1:6">
      <c r="A56" s="1251" t="s">
        <v>48</v>
      </c>
      <c r="B56" s="1251" t="s">
        <v>29</v>
      </c>
      <c r="C56" s="333">
        <v>17</v>
      </c>
      <c r="D56" s="333">
        <v>432648</v>
      </c>
      <c r="E56" s="333">
        <v>97</v>
      </c>
      <c r="F56" s="333">
        <v>1043367</v>
      </c>
    </row>
    <row r="57" spans="1:6">
      <c r="A57" s="1251" t="s">
        <v>49</v>
      </c>
      <c r="B57" s="1251" t="s">
        <v>50</v>
      </c>
      <c r="C57" s="333">
        <v>8</v>
      </c>
      <c r="D57" s="333">
        <v>201809</v>
      </c>
      <c r="E57" s="333">
        <v>38</v>
      </c>
      <c r="F57" s="333">
        <v>857571</v>
      </c>
    </row>
    <row r="58" spans="1:6">
      <c r="A58" s="1251" t="s">
        <v>49</v>
      </c>
      <c r="B58" s="1251" t="s">
        <v>51</v>
      </c>
      <c r="C58" s="333">
        <v>9</v>
      </c>
      <c r="D58" s="333">
        <v>347599</v>
      </c>
      <c r="E58" s="333">
        <v>21</v>
      </c>
      <c r="F58" s="333">
        <v>310110</v>
      </c>
    </row>
    <row r="59" spans="1:6">
      <c r="A59" s="1251" t="s">
        <v>49</v>
      </c>
      <c r="B59" s="1251" t="s">
        <v>52</v>
      </c>
      <c r="C59" s="333">
        <v>20</v>
      </c>
      <c r="D59" s="333">
        <v>728241</v>
      </c>
      <c r="E59" s="333">
        <v>83</v>
      </c>
      <c r="F59" s="333">
        <v>2141577</v>
      </c>
    </row>
    <row r="60" spans="1:6">
      <c r="A60" s="1251" t="s">
        <v>49</v>
      </c>
      <c r="B60" s="1251" t="s">
        <v>53</v>
      </c>
      <c r="C60" s="333">
        <v>13</v>
      </c>
      <c r="D60" s="333">
        <v>752964</v>
      </c>
      <c r="E60" s="333">
        <v>45</v>
      </c>
      <c r="F60" s="333">
        <v>1108395</v>
      </c>
    </row>
    <row r="61" spans="1:6">
      <c r="A61" s="1251" t="s">
        <v>49</v>
      </c>
      <c r="B61" s="1251" t="s">
        <v>54</v>
      </c>
      <c r="C61" s="333">
        <v>45</v>
      </c>
      <c r="D61" s="333">
        <v>2506929</v>
      </c>
      <c r="E61" s="333">
        <v>162</v>
      </c>
      <c r="F61" s="333">
        <v>1742722</v>
      </c>
    </row>
    <row r="62" spans="1:6">
      <c r="A62" s="1251" t="s">
        <v>49</v>
      </c>
      <c r="B62" s="1251" t="s">
        <v>55</v>
      </c>
      <c r="C62" s="333">
        <v>4</v>
      </c>
      <c r="D62" s="333">
        <v>992287</v>
      </c>
      <c r="E62" s="333">
        <v>6</v>
      </c>
      <c r="F62" s="333">
        <v>317602</v>
      </c>
    </row>
    <row r="63" spans="1:6">
      <c r="A63" s="1251" t="s">
        <v>49</v>
      </c>
      <c r="B63" s="1251" t="s">
        <v>29</v>
      </c>
      <c r="C63" s="333">
        <v>0</v>
      </c>
      <c r="D63" s="333">
        <v>0</v>
      </c>
      <c r="E63" s="333">
        <v>0</v>
      </c>
      <c r="F63" s="333">
        <v>0</v>
      </c>
    </row>
    <row r="64" spans="1:6">
      <c r="A64" s="1251" t="s">
        <v>56</v>
      </c>
      <c r="B64" s="1251" t="s">
        <v>57</v>
      </c>
      <c r="C64" s="333">
        <v>0</v>
      </c>
      <c r="D64" s="333">
        <v>0</v>
      </c>
      <c r="E64" s="333">
        <v>0</v>
      </c>
      <c r="F64" s="333">
        <v>0</v>
      </c>
    </row>
    <row r="65" spans="1:6">
      <c r="A65" s="1251" t="s">
        <v>56</v>
      </c>
      <c r="B65" s="1251" t="s">
        <v>29</v>
      </c>
      <c r="C65" s="333">
        <v>0</v>
      </c>
      <c r="D65" s="333">
        <v>0</v>
      </c>
      <c r="E65" s="333">
        <v>1</v>
      </c>
      <c r="F65" s="333">
        <v>5513</v>
      </c>
    </row>
    <row r="66" spans="1:6">
      <c r="A66" s="1251" t="s">
        <v>56</v>
      </c>
      <c r="B66" s="1251" t="s">
        <v>58</v>
      </c>
      <c r="C66" s="333">
        <v>0</v>
      </c>
      <c r="D66" s="333">
        <v>0</v>
      </c>
      <c r="E66" s="333">
        <v>0</v>
      </c>
      <c r="F66" s="333">
        <v>0</v>
      </c>
    </row>
    <row r="67" spans="1:6">
      <c r="A67" s="1258" t="s">
        <v>56</v>
      </c>
      <c r="B67" s="1258" t="s">
        <v>59</v>
      </c>
      <c r="C67" s="333">
        <v>0</v>
      </c>
      <c r="D67" s="333">
        <v>0</v>
      </c>
      <c r="E67" s="333">
        <v>0</v>
      </c>
      <c r="F67" s="333">
        <v>0</v>
      </c>
    </row>
    <row r="68" spans="1:6">
      <c r="A68" s="1247" t="s">
        <v>56</v>
      </c>
      <c r="B68" s="1247" t="s">
        <v>60</v>
      </c>
      <c r="C68" s="333">
        <v>0</v>
      </c>
      <c r="D68" s="333">
        <v>0</v>
      </c>
      <c r="E68" s="333">
        <v>4</v>
      </c>
      <c r="F68" s="333">
        <v>206210</v>
      </c>
    </row>
    <row r="69" spans="1:6" ht="15.75" thickBot="1">
      <c r="A69" s="337"/>
    </row>
    <row r="70" spans="1:6" ht="19.5">
      <c r="A70" s="1244" t="s">
        <v>61</v>
      </c>
      <c r="B70" s="334"/>
      <c r="C70" s="334" t="s">
        <v>928</v>
      </c>
      <c r="D70" s="334" t="s">
        <v>817</v>
      </c>
      <c r="E70" s="334"/>
      <c r="F70" s="338"/>
    </row>
    <row r="71" spans="1:6" ht="20.25" thickBot="1">
      <c r="A71" s="1259"/>
      <c r="B71" s="340"/>
      <c r="C71" s="340"/>
      <c r="D71" s="341" t="s">
        <v>451</v>
      </c>
      <c r="E71" s="340"/>
      <c r="F71" s="342"/>
    </row>
    <row r="72" spans="1:6" ht="16.5" thickTop="1" thickBot="1">
      <c r="A72" s="1248" t="s">
        <v>62</v>
      </c>
      <c r="B72" s="1249" t="s">
        <v>63</v>
      </c>
      <c r="C72" s="1260" t="s">
        <v>772</v>
      </c>
      <c r="D72" s="1261">
        <v>2011</v>
      </c>
      <c r="E72" s="1261">
        <v>2020</v>
      </c>
      <c r="F72" s="1250">
        <v>2014</v>
      </c>
    </row>
    <row r="73" spans="1:6">
      <c r="A73" s="1251" t="s">
        <v>64</v>
      </c>
      <c r="B73" s="1251" t="s">
        <v>773</v>
      </c>
      <c r="C73" s="1262" t="s">
        <v>774</v>
      </c>
      <c r="D73" s="333">
        <v>120780700</v>
      </c>
      <c r="E73" s="333">
        <v>125291870.85606883</v>
      </c>
      <c r="F73" s="333">
        <v>121190907</v>
      </c>
    </row>
    <row r="74" spans="1:6">
      <c r="A74" s="1251" t="s">
        <v>64</v>
      </c>
      <c r="B74" s="1251" t="s">
        <v>775</v>
      </c>
      <c r="C74" s="1262" t="s">
        <v>776</v>
      </c>
      <c r="D74" s="333">
        <v>11618463.309050914</v>
      </c>
      <c r="E74" s="333">
        <v>12481613.819711296</v>
      </c>
      <c r="F74" s="333">
        <v>11956008.214066729</v>
      </c>
    </row>
    <row r="75" spans="1:6">
      <c r="A75" s="1251" t="s">
        <v>65</v>
      </c>
      <c r="B75" s="1251" t="s">
        <v>773</v>
      </c>
      <c r="C75" s="1262" t="s">
        <v>777</v>
      </c>
      <c r="D75" s="333">
        <v>9236788</v>
      </c>
      <c r="E75" s="333">
        <v>9458759.2710468061</v>
      </c>
      <c r="F75" s="333">
        <v>9223427</v>
      </c>
    </row>
    <row r="76" spans="1:6">
      <c r="A76" s="1251" t="s">
        <v>65</v>
      </c>
      <c r="B76" s="1251" t="s">
        <v>775</v>
      </c>
      <c r="C76" s="1262" t="s">
        <v>778</v>
      </c>
      <c r="D76" s="333">
        <v>39523.309050914482</v>
      </c>
      <c r="E76" s="333">
        <v>93532.907136772294</v>
      </c>
      <c r="F76" s="333">
        <v>71739.214066728426</v>
      </c>
    </row>
    <row r="77" spans="1:6">
      <c r="A77" s="1251" t="s">
        <v>66</v>
      </c>
      <c r="B77" s="1251" t="s">
        <v>773</v>
      </c>
      <c r="C77" s="1262" t="s">
        <v>779</v>
      </c>
      <c r="D77" s="333">
        <v>0</v>
      </c>
      <c r="E77" s="333">
        <v>0</v>
      </c>
      <c r="F77" s="333">
        <v>0</v>
      </c>
    </row>
    <row r="78" spans="1:6">
      <c r="A78" s="1247" t="s">
        <v>66</v>
      </c>
      <c r="B78" s="1247" t="s">
        <v>775</v>
      </c>
      <c r="C78" s="1247" t="s">
        <v>780</v>
      </c>
      <c r="D78" s="1247">
        <v>0</v>
      </c>
      <c r="E78" s="1247">
        <v>0</v>
      </c>
      <c r="F78" s="336">
        <v>0</v>
      </c>
    </row>
    <row r="79" spans="1:6">
      <c r="A79" s="1263"/>
      <c r="B79" s="1263"/>
    </row>
    <row r="80" spans="1:6" ht="15.75" thickBot="1">
      <c r="A80" s="1263"/>
      <c r="B80" s="1263"/>
    </row>
    <row r="81" spans="1:6" ht="20.25" thickBot="1">
      <c r="A81" s="1244" t="s">
        <v>335</v>
      </c>
      <c r="B81" s="1264" t="s">
        <v>397</v>
      </c>
      <c r="C81" s="334" t="s">
        <v>828</v>
      </c>
      <c r="D81" s="334"/>
      <c r="E81" s="334"/>
      <c r="F81" s="338"/>
    </row>
    <row r="82" spans="1:6" ht="16.5" thickTop="1" thickBot="1">
      <c r="A82" s="1248" t="s">
        <v>336</v>
      </c>
      <c r="B82" s="1261">
        <v>2011</v>
      </c>
      <c r="C82" s="1261">
        <v>2020</v>
      </c>
      <c r="D82" s="1249">
        <v>2014</v>
      </c>
      <c r="E82" s="1249"/>
      <c r="F82" s="1250"/>
    </row>
    <row r="83" spans="1:6">
      <c r="A83" s="1251" t="s">
        <v>337</v>
      </c>
      <c r="B83" s="333">
        <v>643597.38189817104</v>
      </c>
      <c r="C83" s="333">
        <v>588495.57083724288</v>
      </c>
      <c r="D83" s="333">
        <v>598701.57186654315</v>
      </c>
    </row>
    <row r="84" spans="1:6">
      <c r="A84" s="1247" t="s">
        <v>338</v>
      </c>
      <c r="B84" s="336">
        <v>0</v>
      </c>
      <c r="C84" s="336">
        <v>0</v>
      </c>
      <c r="D84" s="336">
        <v>0</v>
      </c>
      <c r="E84" s="336"/>
      <c r="F84" s="336"/>
    </row>
    <row r="85" spans="1:6">
      <c r="A85" s="1263"/>
      <c r="B85" s="1265"/>
    </row>
    <row r="86" spans="1:6" ht="15.75" thickBot="1">
      <c r="A86" s="337"/>
    </row>
    <row r="87" spans="1:6" ht="20.25" thickBot="1">
      <c r="A87" s="1244" t="s">
        <v>67</v>
      </c>
      <c r="B87" s="334" t="s">
        <v>397</v>
      </c>
      <c r="C87" s="334" t="s">
        <v>929</v>
      </c>
      <c r="D87" s="334"/>
      <c r="E87" s="334"/>
      <c r="F87" s="338"/>
    </row>
    <row r="88" spans="1:6" ht="16.5" thickTop="1" thickBot="1">
      <c r="A88" s="1248" t="s">
        <v>4</v>
      </c>
      <c r="B88" s="1249" t="s">
        <v>171</v>
      </c>
      <c r="C88" s="1249"/>
      <c r="D88" s="1249"/>
      <c r="E88" s="1249"/>
      <c r="F88" s="1250"/>
    </row>
    <row r="89" spans="1:6">
      <c r="A89" s="1251" t="s">
        <v>561</v>
      </c>
      <c r="B89" s="333">
        <v>0</v>
      </c>
    </row>
    <row r="90" spans="1:6">
      <c r="A90" s="1251" t="s">
        <v>562</v>
      </c>
      <c r="B90" s="949">
        <v>0</v>
      </c>
    </row>
    <row r="91" spans="1:6">
      <c r="A91" s="1251" t="s">
        <v>68</v>
      </c>
      <c r="B91" s="333">
        <v>1857.476369968741</v>
      </c>
    </row>
    <row r="92" spans="1:6">
      <c r="A92" s="1247" t="s">
        <v>69</v>
      </c>
      <c r="B92" s="336">
        <v>575.90194927035645</v>
      </c>
      <c r="C92" s="336"/>
      <c r="D92" s="336"/>
      <c r="E92" s="336"/>
      <c r="F92" s="336"/>
    </row>
    <row r="93" spans="1:6">
      <c r="A93" s="337"/>
    </row>
    <row r="94" spans="1:6" ht="15.75" thickBot="1">
      <c r="A94" s="337"/>
    </row>
    <row r="95" spans="1:6" ht="20.25" thickBot="1">
      <c r="A95" s="1244" t="s">
        <v>70</v>
      </c>
      <c r="B95" s="334" t="s">
        <v>397</v>
      </c>
      <c r="C95" s="334" t="s">
        <v>415</v>
      </c>
      <c r="D95" s="334"/>
      <c r="E95" s="334"/>
      <c r="F95" s="338"/>
    </row>
    <row r="96" spans="1:6" ht="16.5" thickTop="1" thickBot="1">
      <c r="A96" s="1248" t="s">
        <v>4</v>
      </c>
      <c r="B96" s="1249" t="s">
        <v>5</v>
      </c>
      <c r="C96" s="1249"/>
      <c r="D96" s="1249"/>
      <c r="E96" s="1249"/>
      <c r="F96" s="1250"/>
    </row>
    <row r="97" spans="1:6">
      <c r="A97" s="1251" t="s">
        <v>71</v>
      </c>
      <c r="B97" s="333">
        <v>496</v>
      </c>
    </row>
    <row r="98" spans="1:6">
      <c r="A98" s="1251" t="s">
        <v>72</v>
      </c>
      <c r="B98" s="333">
        <v>3</v>
      </c>
    </row>
    <row r="99" spans="1:6">
      <c r="A99" s="1251" t="s">
        <v>73</v>
      </c>
      <c r="B99" s="333">
        <v>71</v>
      </c>
    </row>
    <row r="100" spans="1:6">
      <c r="A100" s="1251" t="s">
        <v>74</v>
      </c>
      <c r="B100" s="333">
        <v>218</v>
      </c>
    </row>
    <row r="101" spans="1:6">
      <c r="A101" s="1251" t="s">
        <v>75</v>
      </c>
      <c r="B101" s="333">
        <v>67</v>
      </c>
    </row>
    <row r="102" spans="1:6">
      <c r="A102" s="1251" t="s">
        <v>76</v>
      </c>
      <c r="B102" s="333">
        <v>49</v>
      </c>
    </row>
    <row r="103" spans="1:6">
      <c r="A103" s="1251" t="s">
        <v>77</v>
      </c>
      <c r="B103" s="333">
        <v>75</v>
      </c>
    </row>
    <row r="104" spans="1:6">
      <c r="A104" s="1251" t="s">
        <v>78</v>
      </c>
      <c r="B104" s="333">
        <v>3050</v>
      </c>
    </row>
    <row r="105" spans="1:6">
      <c r="A105" s="1247" t="s">
        <v>79</v>
      </c>
      <c r="B105" s="1247">
        <v>1</v>
      </c>
      <c r="C105" s="336"/>
      <c r="D105" s="336"/>
      <c r="E105" s="336"/>
      <c r="F105" s="336"/>
    </row>
    <row r="106" spans="1:6">
      <c r="A106" s="337"/>
    </row>
    <row r="107" spans="1:6" ht="15.75" thickBot="1">
      <c r="A107" s="337"/>
    </row>
    <row r="108" spans="1:6" ht="20.25" thickBot="1">
      <c r="A108" s="1244" t="s">
        <v>669</v>
      </c>
      <c r="B108" s="334" t="s">
        <v>397</v>
      </c>
      <c r="C108" s="334" t="s">
        <v>412</v>
      </c>
      <c r="D108" s="334"/>
      <c r="E108" s="334"/>
      <c r="F108" s="338"/>
    </row>
    <row r="109" spans="1:6" ht="16.5" thickTop="1" thickBot="1">
      <c r="A109" s="1248" t="s">
        <v>4</v>
      </c>
      <c r="B109" s="1249" t="s">
        <v>5</v>
      </c>
      <c r="C109" s="1249"/>
      <c r="D109" s="1249"/>
      <c r="E109" s="1249"/>
      <c r="F109" s="1250"/>
    </row>
    <row r="110" spans="1:6">
      <c r="A110" s="387" t="s">
        <v>670</v>
      </c>
      <c r="B110" s="333">
        <v>0</v>
      </c>
    </row>
    <row r="111" spans="1:6">
      <c r="A111" s="1247" t="s">
        <v>671</v>
      </c>
      <c r="B111" s="1247">
        <v>0</v>
      </c>
      <c r="C111" s="1247"/>
      <c r="D111" s="1247"/>
      <c r="E111" s="1247"/>
      <c r="F111" s="1247"/>
    </row>
    <row r="112" spans="1:6">
      <c r="A112" s="337"/>
    </row>
    <row r="113" spans="1:6" ht="15.75" thickBot="1">
      <c r="A113" s="337"/>
    </row>
    <row r="114" spans="1:6" ht="20.25" thickBot="1">
      <c r="A114" s="1244" t="s">
        <v>80</v>
      </c>
      <c r="B114" s="334" t="s">
        <v>397</v>
      </c>
      <c r="C114" s="334" t="s">
        <v>930</v>
      </c>
      <c r="D114" s="334"/>
      <c r="E114" s="334"/>
      <c r="F114" s="338"/>
    </row>
    <row r="115" spans="1:6" ht="16.5" thickTop="1" thickBot="1">
      <c r="A115" s="343"/>
      <c r="B115" s="344" t="s">
        <v>81</v>
      </c>
      <c r="C115" s="344" t="s">
        <v>82</v>
      </c>
      <c r="D115" s="344"/>
      <c r="E115" s="344"/>
      <c r="F115" s="345"/>
    </row>
    <row r="116" spans="1:6" ht="16.5" thickTop="1" thickBot="1">
      <c r="A116" s="1248" t="s">
        <v>4</v>
      </c>
      <c r="B116" s="1249" t="s">
        <v>5</v>
      </c>
      <c r="C116" s="1249" t="s">
        <v>5</v>
      </c>
      <c r="D116" s="1249"/>
      <c r="E116" s="1249"/>
      <c r="F116" s="1250"/>
    </row>
    <row r="117" spans="1:6">
      <c r="A117" s="1251" t="s">
        <v>83</v>
      </c>
      <c r="B117" s="333">
        <v>0</v>
      </c>
      <c r="C117" s="333">
        <v>0</v>
      </c>
    </row>
    <row r="118" spans="1:6">
      <c r="A118" s="1251" t="s">
        <v>84</v>
      </c>
      <c r="B118" s="333">
        <v>0</v>
      </c>
      <c r="C118" s="333">
        <v>0</v>
      </c>
    </row>
    <row r="119" spans="1:6">
      <c r="A119" s="1251" t="s">
        <v>32</v>
      </c>
      <c r="B119" s="333">
        <v>0</v>
      </c>
      <c r="C119" s="333">
        <v>0</v>
      </c>
    </row>
    <row r="120" spans="1:6">
      <c r="A120" s="1251" t="s">
        <v>85</v>
      </c>
      <c r="B120" s="333">
        <v>0</v>
      </c>
      <c r="C120" s="333">
        <v>0</v>
      </c>
    </row>
    <row r="121" spans="1:6">
      <c r="A121" s="1251" t="s">
        <v>86</v>
      </c>
      <c r="B121" s="333">
        <v>0</v>
      </c>
      <c r="C121" s="333">
        <v>0</v>
      </c>
    </row>
    <row r="122" spans="1:6">
      <c r="A122" s="1251" t="s">
        <v>87</v>
      </c>
      <c r="B122" s="333">
        <v>0</v>
      </c>
      <c r="C122" s="333">
        <v>0</v>
      </c>
    </row>
    <row r="123" spans="1:6">
      <c r="A123" s="1251" t="s">
        <v>88</v>
      </c>
      <c r="B123" s="333">
        <v>7</v>
      </c>
      <c r="C123" s="333">
        <v>11</v>
      </c>
    </row>
    <row r="124" spans="1:6">
      <c r="A124" s="1247" t="s">
        <v>89</v>
      </c>
      <c r="B124" s="333">
        <v>0</v>
      </c>
      <c r="C124" s="333">
        <v>0</v>
      </c>
      <c r="D124" s="336"/>
      <c r="E124" s="336"/>
      <c r="F124" s="336"/>
    </row>
    <row r="125" spans="1:6">
      <c r="A125" s="1263"/>
    </row>
    <row r="126" spans="1:6" ht="15.75" thickBot="1">
      <c r="A126" s="1263"/>
    </row>
    <row r="127" spans="1:6" ht="20.25" thickBot="1">
      <c r="A127" s="1244" t="s">
        <v>294</v>
      </c>
      <c r="B127" s="334" t="s">
        <v>397</v>
      </c>
      <c r="C127" s="334" t="s">
        <v>412</v>
      </c>
      <c r="D127" s="334"/>
      <c r="E127" s="334"/>
      <c r="F127" s="338"/>
    </row>
    <row r="128" spans="1:6" ht="16.5" thickTop="1" thickBot="1">
      <c r="A128" s="1248" t="s">
        <v>4</v>
      </c>
      <c r="B128" s="1249" t="s">
        <v>5</v>
      </c>
      <c r="C128" s="1249"/>
      <c r="D128" s="1249"/>
      <c r="E128" s="1249"/>
      <c r="F128" s="1250"/>
    </row>
    <row r="129" spans="1:6">
      <c r="A129" s="1251" t="s">
        <v>295</v>
      </c>
      <c r="B129" s="333">
        <v>42</v>
      </c>
    </row>
    <row r="130" spans="1:6">
      <c r="A130" s="1251" t="s">
        <v>296</v>
      </c>
      <c r="B130" s="333">
        <v>1</v>
      </c>
    </row>
    <row r="131" spans="1:6">
      <c r="A131" s="1251" t="s">
        <v>297</v>
      </c>
      <c r="B131" s="333">
        <v>0</v>
      </c>
    </row>
    <row r="132" spans="1:6">
      <c r="A132" s="1247" t="s">
        <v>298</v>
      </c>
      <c r="B132" s="336">
        <v>2</v>
      </c>
      <c r="C132" s="336"/>
      <c r="D132" s="336"/>
      <c r="E132" s="336"/>
      <c r="F132" s="336"/>
    </row>
    <row r="134" spans="1:6">
      <c r="A134" s="1265"/>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2" customWidth="1"/>
  </cols>
  <sheetData>
    <row r="1" spans="1:9" ht="18.75" thickBot="1">
      <c r="A1" s="121" t="s">
        <v>181</v>
      </c>
      <c r="B1" s="518"/>
    </row>
    <row r="2" spans="1:9">
      <c r="A2" s="44" t="s">
        <v>792</v>
      </c>
      <c r="B2" s="519"/>
    </row>
    <row r="3" spans="1:9">
      <c r="A3" s="44"/>
      <c r="B3" s="519"/>
    </row>
    <row r="4" spans="1:9" ht="18">
      <c r="A4" s="137" t="s">
        <v>182</v>
      </c>
      <c r="B4" s="520" t="s">
        <v>391</v>
      </c>
    </row>
    <row r="5" spans="1:9" ht="21">
      <c r="A5" s="116" t="s">
        <v>184</v>
      </c>
      <c r="B5" s="521"/>
      <c r="E5" s="9"/>
      <c r="F5" s="9"/>
      <c r="G5" s="9"/>
    </row>
    <row r="6" spans="1:9">
      <c r="A6" s="117" t="s">
        <v>185</v>
      </c>
      <c r="B6" s="522">
        <v>3.9849787380274715</v>
      </c>
      <c r="E6" s="10"/>
      <c r="F6" s="10"/>
      <c r="G6" s="10"/>
      <c r="H6" s="10"/>
      <c r="I6" s="10"/>
    </row>
    <row r="7" spans="1:9">
      <c r="A7" s="117" t="s">
        <v>6</v>
      </c>
      <c r="B7" s="522">
        <v>145.2039646716907</v>
      </c>
      <c r="H7" s="10"/>
      <c r="I7" s="10"/>
    </row>
    <row r="8" spans="1:9">
      <c r="A8" s="117" t="s">
        <v>7</v>
      </c>
      <c r="B8" s="522">
        <v>91.939542261645002</v>
      </c>
      <c r="H8" s="10"/>
      <c r="I8" s="10"/>
    </row>
    <row r="9" spans="1:9">
      <c r="A9" s="117" t="s">
        <v>8</v>
      </c>
      <c r="B9" s="522">
        <v>31.466379225633723</v>
      </c>
      <c r="E9" s="10"/>
      <c r="F9" s="10"/>
      <c r="G9" s="10"/>
      <c r="H9" s="10"/>
      <c r="I9" s="10"/>
    </row>
    <row r="10" spans="1:9">
      <c r="A10" s="117" t="s">
        <v>9</v>
      </c>
      <c r="B10" s="522">
        <v>47.265136268950577</v>
      </c>
      <c r="E10" s="11"/>
      <c r="F10" s="11"/>
      <c r="G10" s="11"/>
      <c r="H10" s="10"/>
      <c r="I10" s="10"/>
    </row>
    <row r="11" spans="1:9">
      <c r="A11" s="117" t="s">
        <v>10</v>
      </c>
      <c r="B11" s="522">
        <v>47.685070955670071</v>
      </c>
      <c r="E11" s="11"/>
      <c r="F11" s="11"/>
      <c r="G11" s="11"/>
      <c r="H11" s="10"/>
      <c r="I11" s="10"/>
    </row>
    <row r="12" spans="1:9">
      <c r="A12" s="118" t="s">
        <v>16</v>
      </c>
      <c r="B12" s="522">
        <v>8</v>
      </c>
      <c r="E12" s="10"/>
      <c r="F12" s="10"/>
      <c r="G12" s="10"/>
      <c r="H12" s="10"/>
      <c r="I12" s="10"/>
    </row>
    <row r="13" spans="1:9">
      <c r="A13" s="118" t="s">
        <v>17</v>
      </c>
      <c r="B13" s="522">
        <v>5</v>
      </c>
      <c r="E13" s="10"/>
      <c r="F13" s="10"/>
      <c r="G13" s="10"/>
      <c r="H13" s="10"/>
      <c r="I13" s="10"/>
    </row>
    <row r="14" spans="1:9">
      <c r="A14" s="118" t="s">
        <v>186</v>
      </c>
      <c r="B14" s="522">
        <v>1.5</v>
      </c>
      <c r="E14" s="10"/>
      <c r="F14" s="10"/>
      <c r="G14" s="10"/>
      <c r="H14" s="10"/>
      <c r="I14" s="10"/>
    </row>
    <row r="15" spans="1:9">
      <c r="A15" s="118" t="s">
        <v>187</v>
      </c>
      <c r="B15" s="522">
        <v>18</v>
      </c>
      <c r="E15" s="10"/>
      <c r="F15" s="10"/>
      <c r="G15" s="10"/>
      <c r="H15" s="10"/>
      <c r="I15" s="10"/>
    </row>
    <row r="16" spans="1:9">
      <c r="A16" s="118" t="s">
        <v>188</v>
      </c>
      <c r="B16" s="523">
        <v>10</v>
      </c>
      <c r="E16" s="10"/>
      <c r="F16" s="10"/>
      <c r="G16" s="10"/>
      <c r="H16" s="10"/>
      <c r="I16" s="10"/>
    </row>
    <row r="17" spans="1:9" s="43" customFormat="1" ht="15.75" thickBot="1">
      <c r="A17" s="119"/>
      <c r="B17" s="524"/>
      <c r="E17" s="156"/>
      <c r="F17" s="156"/>
      <c r="G17" s="156"/>
      <c r="H17" s="156"/>
      <c r="I17" s="156"/>
    </row>
    <row r="18" spans="1:9" s="43" customFormat="1" ht="15.75" thickBot="1">
      <c r="A18" s="196"/>
      <c r="B18" s="525"/>
      <c r="E18" s="156"/>
      <c r="F18" s="156"/>
      <c r="G18" s="156"/>
      <c r="H18" s="156"/>
      <c r="I18" s="156"/>
    </row>
    <row r="19" spans="1:9" ht="18.75" thickBot="1">
      <c r="A19" s="121" t="s">
        <v>189</v>
      </c>
      <c r="B19" s="518"/>
      <c r="E19" s="10"/>
      <c r="F19" s="10"/>
      <c r="G19" s="10"/>
      <c r="H19" s="10"/>
      <c r="I19" s="10"/>
    </row>
    <row r="20" spans="1:9">
      <c r="A20" s="44" t="s">
        <v>792</v>
      </c>
      <c r="B20" s="519"/>
      <c r="E20" s="10"/>
      <c r="F20" s="10"/>
      <c r="G20" s="10"/>
      <c r="H20" s="10"/>
      <c r="I20" s="10"/>
    </row>
    <row r="21" spans="1:9">
      <c r="A21" s="44"/>
      <c r="B21" s="519"/>
      <c r="E21" s="10"/>
      <c r="F21" s="10"/>
      <c r="G21" s="10"/>
      <c r="H21" s="10"/>
      <c r="I21" s="10"/>
    </row>
    <row r="22" spans="1:9" ht="18">
      <c r="A22" s="138" t="s">
        <v>182</v>
      </c>
      <c r="B22" s="526" t="s">
        <v>391</v>
      </c>
      <c r="E22" s="10"/>
      <c r="F22" s="10"/>
      <c r="G22" s="10"/>
      <c r="H22" s="10"/>
      <c r="I22" s="10"/>
    </row>
    <row r="23" spans="1:9" s="72" customFormat="1">
      <c r="A23" s="118" t="s">
        <v>184</v>
      </c>
      <c r="B23" s="522">
        <v>10.510911513863443</v>
      </c>
    </row>
    <row r="24" spans="1:9">
      <c r="A24" s="117" t="s">
        <v>185</v>
      </c>
      <c r="B24" s="522">
        <v>4.2231090152811745</v>
      </c>
      <c r="E24" s="10"/>
      <c r="F24" s="10"/>
      <c r="G24" s="10"/>
      <c r="H24" s="10"/>
      <c r="I24" s="10"/>
    </row>
    <row r="25" spans="1:9">
      <c r="A25" s="117" t="s">
        <v>6</v>
      </c>
      <c r="B25" s="522">
        <v>36.708437923254813</v>
      </c>
      <c r="E25" s="10"/>
      <c r="F25" s="10"/>
      <c r="G25" s="10"/>
      <c r="H25" s="10"/>
      <c r="I25" s="10"/>
    </row>
    <row r="26" spans="1:9">
      <c r="A26" s="117" t="s">
        <v>7</v>
      </c>
      <c r="B26" s="522">
        <v>2.6322448484550991</v>
      </c>
      <c r="E26" s="10"/>
      <c r="F26" s="10"/>
      <c r="G26" s="10"/>
      <c r="H26" s="10"/>
      <c r="I26" s="10"/>
    </row>
    <row r="27" spans="1:9">
      <c r="A27" s="117" t="s">
        <v>8</v>
      </c>
      <c r="B27" s="522">
        <v>1.3742356711711319</v>
      </c>
      <c r="E27" s="10"/>
      <c r="F27" s="10"/>
      <c r="G27" s="10"/>
      <c r="H27" s="10"/>
      <c r="I27" s="10"/>
    </row>
    <row r="28" spans="1:9">
      <c r="A28" s="117" t="s">
        <v>9</v>
      </c>
      <c r="B28" s="522">
        <v>9.3577839260338891</v>
      </c>
      <c r="E28" s="10"/>
      <c r="F28" s="10"/>
      <c r="G28" s="10"/>
      <c r="H28" s="10"/>
      <c r="I28" s="10"/>
    </row>
    <row r="29" spans="1:9">
      <c r="A29" s="117" t="s">
        <v>10</v>
      </c>
      <c r="B29" s="522">
        <v>3.8951527391088074</v>
      </c>
      <c r="E29" s="10"/>
      <c r="F29" s="10"/>
      <c r="G29" s="10"/>
      <c r="H29" s="10"/>
      <c r="I29" s="10"/>
    </row>
    <row r="30" spans="1:9">
      <c r="A30" s="118" t="s">
        <v>186</v>
      </c>
      <c r="B30" s="522">
        <v>4.5147487611975414</v>
      </c>
      <c r="E30" s="10"/>
      <c r="F30" s="10"/>
      <c r="G30" s="10"/>
      <c r="H30" s="10"/>
      <c r="I30" s="10"/>
    </row>
    <row r="31" spans="1:9">
      <c r="A31" s="117" t="s">
        <v>11</v>
      </c>
      <c r="B31" s="522">
        <v>1.6075002802320004</v>
      </c>
      <c r="E31" s="10"/>
      <c r="F31" s="10"/>
      <c r="G31" s="10"/>
      <c r="H31" s="10"/>
      <c r="I31" s="10"/>
    </row>
    <row r="32" spans="1:9">
      <c r="A32" s="117" t="s">
        <v>12</v>
      </c>
      <c r="B32" s="522">
        <v>4.8225008406960006</v>
      </c>
      <c r="E32" s="10"/>
      <c r="F32" s="10"/>
      <c r="G32" s="10"/>
      <c r="H32" s="10"/>
      <c r="I32" s="10"/>
    </row>
    <row r="33" spans="1:11">
      <c r="A33" s="117" t="s">
        <v>13</v>
      </c>
      <c r="B33" s="522">
        <v>6.3685027042560023</v>
      </c>
      <c r="E33" s="10"/>
      <c r="F33" s="10"/>
      <c r="G33" s="10"/>
      <c r="H33" s="10"/>
      <c r="I33" s="10"/>
    </row>
    <row r="34" spans="1:11">
      <c r="A34" s="117" t="s">
        <v>14</v>
      </c>
      <c r="B34" s="522">
        <v>4.6362973013280016</v>
      </c>
      <c r="E34" s="10"/>
      <c r="F34" s="10"/>
      <c r="G34" s="10"/>
      <c r="H34" s="10"/>
      <c r="I34" s="10"/>
    </row>
    <row r="35" spans="1:11">
      <c r="A35" s="117" t="s">
        <v>15</v>
      </c>
      <c r="B35" s="522">
        <v>12.338973989496003</v>
      </c>
      <c r="E35" s="10"/>
      <c r="F35" s="10"/>
      <c r="G35" s="10"/>
      <c r="H35" s="10"/>
      <c r="I35" s="10"/>
    </row>
    <row r="36" spans="1:11">
      <c r="A36" s="118" t="s">
        <v>16</v>
      </c>
      <c r="B36" s="522">
        <v>0.19</v>
      </c>
      <c r="E36" s="10"/>
      <c r="F36" s="10"/>
      <c r="G36" s="10"/>
      <c r="H36" s="10"/>
      <c r="I36" s="10"/>
    </row>
    <row r="37" spans="1:11">
      <c r="A37" s="118" t="s">
        <v>17</v>
      </c>
      <c r="B37" s="522">
        <v>0.13</v>
      </c>
    </row>
    <row r="38" spans="1:11">
      <c r="A38" s="118" t="s">
        <v>187</v>
      </c>
      <c r="B38" s="522">
        <v>1.56</v>
      </c>
    </row>
    <row r="39" spans="1:11">
      <c r="A39" s="118" t="s">
        <v>188</v>
      </c>
      <c r="B39" s="522">
        <v>0.76</v>
      </c>
    </row>
    <row r="40" spans="1:11">
      <c r="A40" s="118" t="s">
        <v>18</v>
      </c>
      <c r="B40" s="523">
        <v>2.3704721055606063E-2</v>
      </c>
    </row>
    <row r="41" spans="1:11" ht="15.75" thickBot="1">
      <c r="A41" s="119"/>
      <c r="B41" s="527"/>
    </row>
    <row r="42" spans="1:11" s="43" customFormat="1" ht="15.75" thickBot="1">
      <c r="A42" s="197"/>
      <c r="B42" s="525"/>
      <c r="E42" s="198"/>
      <c r="F42" s="198"/>
      <c r="G42" s="198"/>
      <c r="H42" s="198"/>
      <c r="I42" s="198"/>
      <c r="J42" s="198"/>
      <c r="K42" s="198"/>
    </row>
    <row r="43" spans="1:11" ht="15.75" thickBot="1">
      <c r="A43" s="121" t="s">
        <v>190</v>
      </c>
      <c r="B43" s="528"/>
    </row>
    <row r="44" spans="1:11">
      <c r="A44" s="44" t="s">
        <v>712</v>
      </c>
      <c r="B44" s="519"/>
    </row>
    <row r="45" spans="1:11">
      <c r="A45" s="44"/>
      <c r="B45" s="519"/>
    </row>
    <row r="46" spans="1:11" ht="18">
      <c r="A46" s="137" t="s">
        <v>191</v>
      </c>
      <c r="B46" s="520" t="s">
        <v>587</v>
      </c>
    </row>
    <row r="47" spans="1:11">
      <c r="A47" s="116" t="s">
        <v>192</v>
      </c>
      <c r="B47" s="529">
        <v>0.91078472402969768</v>
      </c>
    </row>
    <row r="48" spans="1:11">
      <c r="A48" s="118" t="s">
        <v>193</v>
      </c>
      <c r="B48" s="522">
        <v>0.91081736334237906</v>
      </c>
    </row>
    <row r="49" spans="1:9">
      <c r="A49" s="118" t="s">
        <v>186</v>
      </c>
      <c r="B49" s="522">
        <v>3.3927234279543167E-2</v>
      </c>
    </row>
    <row r="50" spans="1:9">
      <c r="A50" s="118" t="s">
        <v>18</v>
      </c>
      <c r="B50" s="522">
        <v>9.8456821733816993E-4</v>
      </c>
      <c r="E50" s="10"/>
      <c r="F50" s="10"/>
      <c r="G50" s="10"/>
      <c r="H50" s="10"/>
      <c r="I50" s="10"/>
    </row>
    <row r="51" spans="1:9">
      <c r="A51" s="118" t="s">
        <v>16</v>
      </c>
      <c r="B51" s="522">
        <v>6.354064672145299E-3</v>
      </c>
      <c r="E51" s="10"/>
      <c r="F51" s="10"/>
      <c r="G51" s="10"/>
      <c r="H51" s="10"/>
      <c r="I51" s="10"/>
    </row>
    <row r="52" spans="1:9" ht="15.75" thickBot="1">
      <c r="A52" s="119" t="s">
        <v>127</v>
      </c>
      <c r="B52" s="530">
        <v>0.10414436253376488</v>
      </c>
    </row>
    <row r="53" spans="1:9">
      <c r="B53" s="531"/>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9" customWidth="1"/>
    <col min="3" max="3" width="70.28515625" style="535" customWidth="1"/>
  </cols>
  <sheetData>
    <row r="1" spans="1:3" s="333" customFormat="1" ht="15.75" thickBot="1">
      <c r="A1" s="372" t="s">
        <v>639</v>
      </c>
      <c r="B1" s="533"/>
      <c r="C1" s="534"/>
    </row>
    <row r="2" spans="1:3" s="333" customFormat="1">
      <c r="A2" s="376"/>
      <c r="B2" s="499"/>
      <c r="C2" s="536"/>
    </row>
    <row r="3" spans="1:3" s="333" customFormat="1">
      <c r="A3" s="374"/>
      <c r="B3" s="537">
        <v>2011</v>
      </c>
      <c r="C3" s="377" t="s">
        <v>183</v>
      </c>
    </row>
    <row r="4" spans="1:3">
      <c r="A4" s="120" t="s">
        <v>302</v>
      </c>
      <c r="B4" s="538">
        <v>6050.9562999999998</v>
      </c>
      <c r="C4" s="139" t="s">
        <v>707</v>
      </c>
    </row>
    <row r="5" spans="1:3" ht="15.75" thickBot="1">
      <c r="A5" s="115" t="s">
        <v>638</v>
      </c>
      <c r="B5" s="539">
        <v>672548</v>
      </c>
      <c r="C5" s="140" t="s">
        <v>636</v>
      </c>
    </row>
    <row r="11" spans="1:3">
      <c r="B11" s="846"/>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452</v>
      </c>
      <c r="B1" s="373"/>
    </row>
    <row r="2" spans="1:2" s="333" customFormat="1">
      <c r="A2" s="364"/>
      <c r="B2" s="371"/>
    </row>
    <row r="3" spans="1:2" s="333" customFormat="1" ht="18">
      <c r="A3" s="374"/>
      <c r="B3" s="375" t="s">
        <v>455</v>
      </c>
    </row>
    <row r="4" spans="1:2" ht="18">
      <c r="A4" s="120" t="s">
        <v>453</v>
      </c>
      <c r="B4" s="540">
        <v>310</v>
      </c>
    </row>
    <row r="5" spans="1:2" ht="18.75" thickBot="1">
      <c r="A5" s="115" t="s">
        <v>454</v>
      </c>
      <c r="B5" s="541">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200</v>
      </c>
      <c r="C1" s="369" t="s">
        <v>201</v>
      </c>
      <c r="D1" s="369" t="s">
        <v>202</v>
      </c>
      <c r="E1" s="369" t="s">
        <v>203</v>
      </c>
      <c r="F1" s="369" t="s">
        <v>120</v>
      </c>
      <c r="G1" s="369" t="s">
        <v>204</v>
      </c>
      <c r="H1" s="369" t="s">
        <v>205</v>
      </c>
      <c r="I1" s="369" t="s">
        <v>206</v>
      </c>
      <c r="J1" s="369" t="s">
        <v>207</v>
      </c>
      <c r="K1" s="369" t="s">
        <v>208</v>
      </c>
      <c r="L1" s="369" t="s">
        <v>209</v>
      </c>
      <c r="M1" s="370" t="s">
        <v>292</v>
      </c>
    </row>
    <row r="2" spans="1:13" s="333" customFormat="1">
      <c r="A2" s="364" t="s">
        <v>442</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443</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28" sqref="G28"/>
    </sheetView>
  </sheetViews>
  <sheetFormatPr defaultRowHeight="15"/>
  <cols>
    <col min="1" max="1" width="82.7109375" style="333" customWidth="1"/>
    <col min="2" max="2" width="30.28515625" customWidth="1"/>
    <col min="3" max="3" width="12" customWidth="1"/>
    <col min="5" max="5" width="8.140625" customWidth="1"/>
    <col min="6" max="6" width="19.28515625" customWidth="1"/>
    <col min="8" max="8" width="23.42578125" customWidth="1"/>
    <col min="11" max="11" width="86.85546875" customWidth="1"/>
  </cols>
  <sheetData>
    <row r="1" spans="1:11">
      <c r="A1" s="363" t="s">
        <v>494</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512</v>
      </c>
      <c r="B3" s="49">
        <f ca="1">IF(ISERROR('SEAP template'!C23),0,'SEAP template'!C23)</f>
        <v>34089.253433274636</v>
      </c>
      <c r="C3" s="43" t="s">
        <v>171</v>
      </c>
      <c r="D3" s="43"/>
      <c r="E3" s="156"/>
      <c r="F3" s="43"/>
      <c r="G3" s="43"/>
      <c r="H3" s="43"/>
      <c r="I3" s="43"/>
      <c r="J3" s="43"/>
      <c r="K3" s="96"/>
    </row>
    <row r="4" spans="1:11">
      <c r="A4" s="364" t="s">
        <v>172</v>
      </c>
      <c r="B4" s="49">
        <f>IF(ISERROR('SEAP template'!B69),0,'SEAP template'!B69)</f>
        <v>2433.3783192390974</v>
      </c>
      <c r="C4" s="43" t="s">
        <v>171</v>
      </c>
      <c r="D4" s="43"/>
      <c r="E4" s="43"/>
      <c r="F4" s="43"/>
      <c r="G4" s="43"/>
      <c r="H4" s="43"/>
      <c r="I4" s="43"/>
      <c r="J4" s="43"/>
      <c r="K4" s="96"/>
    </row>
    <row r="5" spans="1:11">
      <c r="A5" s="364" t="s">
        <v>549</v>
      </c>
      <c r="B5" s="49">
        <f>IF(ISERROR('Eigen informatie GS &amp; warmtenet'!B4),0,'Eigen informatie GS &amp; warmtenet'!B4)</f>
        <v>0</v>
      </c>
      <c r="C5" s="43" t="s">
        <v>171</v>
      </c>
      <c r="D5" s="43"/>
      <c r="E5" s="43"/>
      <c r="F5" s="43"/>
      <c r="G5" s="43"/>
      <c r="H5" s="43"/>
      <c r="I5" s="43"/>
      <c r="J5" s="43"/>
      <c r="K5" s="96"/>
    </row>
    <row r="6" spans="1:11">
      <c r="A6" s="364" t="s">
        <v>173</v>
      </c>
      <c r="B6" s="543">
        <f>E6</f>
        <v>0.221</v>
      </c>
      <c r="C6" s="43" t="s">
        <v>174</v>
      </c>
      <c r="D6" s="43"/>
      <c r="E6" s="982">
        <v>0.221</v>
      </c>
      <c r="F6" s="128" t="s">
        <v>849</v>
      </c>
      <c r="G6" s="128" t="s">
        <v>853</v>
      </c>
      <c r="H6" s="128"/>
      <c r="I6" s="128"/>
      <c r="J6" s="43"/>
      <c r="K6" s="96"/>
    </row>
    <row r="7" spans="1:11">
      <c r="A7" s="364"/>
      <c r="B7" s="461"/>
      <c r="C7" s="43"/>
      <c r="D7" s="43"/>
      <c r="E7" s="128"/>
      <c r="F7" s="505"/>
      <c r="G7" s="128"/>
      <c r="H7" s="128"/>
      <c r="I7" s="128"/>
      <c r="J7" s="43"/>
      <c r="K7" s="96"/>
    </row>
    <row r="8" spans="1:11">
      <c r="A8" s="364"/>
      <c r="B8" s="461"/>
      <c r="C8" s="43"/>
      <c r="D8" s="43"/>
      <c r="E8" s="128"/>
      <c r="F8" s="505"/>
      <c r="G8" s="128"/>
      <c r="H8" s="983"/>
      <c r="I8" s="984"/>
      <c r="J8" s="43"/>
      <c r="K8" s="96"/>
    </row>
    <row r="9" spans="1:11">
      <c r="A9" s="364" t="s">
        <v>176</v>
      </c>
      <c r="B9" s="49">
        <f>IF(ISERROR('SEAP template'!O69),0,'SEAP template'!O69)</f>
        <v>0</v>
      </c>
      <c r="C9" s="43" t="s">
        <v>175</v>
      </c>
      <c r="D9" s="43"/>
      <c r="E9" s="128"/>
      <c r="F9" s="128"/>
      <c r="G9" s="128"/>
      <c r="H9" s="128"/>
      <c r="I9" s="128"/>
      <c r="J9" s="43"/>
      <c r="K9" s="96"/>
    </row>
    <row r="10" spans="1:11">
      <c r="A10" s="364" t="s">
        <v>417</v>
      </c>
      <c r="B10" s="48">
        <v>0</v>
      </c>
      <c r="C10" s="43" t="s">
        <v>175</v>
      </c>
      <c r="D10" s="156"/>
      <c r="E10" s="43"/>
      <c r="F10" s="43"/>
      <c r="G10" s="43"/>
      <c r="H10" s="43"/>
      <c r="I10" s="43"/>
      <c r="J10" s="43"/>
      <c r="K10" s="96"/>
    </row>
    <row r="11" spans="1:11">
      <c r="A11" s="364"/>
      <c r="B11" s="461"/>
      <c r="C11" s="43"/>
      <c r="D11" s="43"/>
      <c r="E11" s="43"/>
      <c r="F11" s="43"/>
      <c r="G11" s="43"/>
      <c r="H11" s="43"/>
      <c r="I11" s="43"/>
      <c r="J11" s="43"/>
      <c r="K11" s="96"/>
    </row>
    <row r="12" spans="1:11">
      <c r="A12" s="365" t="s">
        <v>177</v>
      </c>
      <c r="B12" s="542">
        <f ca="1">IF((B4+B5)&gt;B3,(B9+B10)/(B4+B5),((B3-B4-B5)*B6+B9+B10)/B3)</f>
        <v>0.20522445332795367</v>
      </c>
      <c r="C12" s="43" t="s">
        <v>174</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495</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178</v>
      </c>
      <c r="B17" s="49">
        <f>IF(ISERROR('SEAP template'!O81),0,'SEAP template'!O81)</f>
        <v>0</v>
      </c>
      <c r="C17" s="43" t="s">
        <v>175</v>
      </c>
      <c r="D17" s="43"/>
      <c r="E17" s="43"/>
      <c r="F17" s="43"/>
      <c r="G17" s="43"/>
      <c r="H17" s="43"/>
      <c r="I17" s="43"/>
      <c r="J17" s="43"/>
      <c r="K17" s="96"/>
    </row>
    <row r="18" spans="1:11">
      <c r="A18" s="364" t="s">
        <v>179</v>
      </c>
      <c r="B18" s="49">
        <f>IF(ISERROR('Eigen informatie GS &amp; warmtenet'!B50),0,'Eigen informatie GS &amp; warmtenet'!B50)</f>
        <v>0</v>
      </c>
      <c r="C18" s="43" t="s">
        <v>175</v>
      </c>
      <c r="D18" s="43"/>
      <c r="E18" s="43"/>
      <c r="F18" s="43"/>
      <c r="G18" s="43"/>
      <c r="H18" s="43"/>
      <c r="I18" s="43"/>
      <c r="J18" s="43"/>
      <c r="K18" s="96"/>
    </row>
    <row r="19" spans="1:11">
      <c r="A19" s="364" t="s">
        <v>303</v>
      </c>
      <c r="B19" s="49">
        <f>IF(ISERROR('Eigen informatie GS &amp; warmtenet'!B51),0,'Eigen informatie GS &amp; warmtenet'!B51)</f>
        <v>0</v>
      </c>
      <c r="C19" s="43" t="s">
        <v>175</v>
      </c>
      <c r="D19" s="43"/>
      <c r="E19" s="43"/>
      <c r="F19" s="43"/>
      <c r="G19" s="43"/>
      <c r="H19" s="43"/>
      <c r="I19" s="43"/>
      <c r="J19" s="43"/>
      <c r="K19" s="96"/>
    </row>
    <row r="20" spans="1:11">
      <c r="A20" s="364" t="s">
        <v>513</v>
      </c>
      <c r="B20" s="49">
        <f ca="1">IF(ISERROR('SEAP template'!D23),0,('SEAP template'!D23))</f>
        <v>0</v>
      </c>
      <c r="C20" s="43" t="s">
        <v>171</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180</v>
      </c>
      <c r="B22" s="544">
        <f ca="1">IF(B20=0,0,(B17+B18-B19)/B20)</f>
        <v>0</v>
      </c>
      <c r="C22" s="43" t="s">
        <v>174</v>
      </c>
      <c r="K22" s="96"/>
    </row>
    <row r="23" spans="1:11" ht="15.75" thickBot="1">
      <c r="A23" s="366"/>
      <c r="B23" s="108"/>
      <c r="C23" s="108"/>
      <c r="D23" s="108"/>
      <c r="E23" s="108"/>
      <c r="F23" s="108"/>
      <c r="G23" s="108"/>
      <c r="H23" s="108"/>
      <c r="I23" s="108"/>
      <c r="J23" s="108"/>
      <c r="K23" s="109"/>
    </row>
    <row r="34" spans="1:1">
      <c r="A34" s="333" t="s">
        <v>237</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772</v>
      </c>
      <c r="B1" s="15" t="s">
        <v>309</v>
      </c>
      <c r="C1" s="15" t="s">
        <v>313</v>
      </c>
      <c r="D1" s="15" t="s">
        <v>314</v>
      </c>
      <c r="E1" s="15" t="s">
        <v>315</v>
      </c>
      <c r="F1" s="15" t="s">
        <v>316</v>
      </c>
      <c r="H1" s="955" t="s">
        <v>797</v>
      </c>
    </row>
    <row r="2" spans="1:8">
      <c r="A2" s="317" t="str">
        <f>CONCATENATE(TableECFTransport[[#This Row],[Voertuigtype]],"_",TableECFTransport[[#This Row],[Wegtype]],"_",TableECFTransport[[#This Row],[Brandstoftechnologie]],"_",TableECFTransport[[#This Row],[Brandstof]])</f>
        <v>Tram_gemiddeld_Electric_Electric</v>
      </c>
      <c r="B2" s="317" t="s">
        <v>331</v>
      </c>
      <c r="C2" s="317" t="s">
        <v>343</v>
      </c>
      <c r="D2" s="317" t="s">
        <v>311</v>
      </c>
      <c r="E2" s="317" t="s">
        <v>311</v>
      </c>
      <c r="F2" s="317">
        <v>1.269E-8</v>
      </c>
    </row>
    <row r="3" spans="1:8">
      <c r="A3" s="317" t="str">
        <f>CONCATENATE(TableECFTransport[[#This Row],[Voertuigtype]],"_",TableECFTransport[[#This Row],[Wegtype]],"_",TableECFTransport[[#This Row],[Brandstoftechnologie]],"_",TableECFTransport[[#This Row],[Brandstof]])</f>
        <v>BUS_Genummerde wegen_Diesel_Diesel</v>
      </c>
      <c r="B3" s="957" t="s">
        <v>781</v>
      </c>
      <c r="C3" s="957" t="s">
        <v>64</v>
      </c>
      <c r="D3" s="957" t="s">
        <v>203</v>
      </c>
      <c r="E3" s="957" t="s">
        <v>203</v>
      </c>
      <c r="F3" s="957">
        <v>9.7392302712366415E-9</v>
      </c>
    </row>
    <row r="4" spans="1:8">
      <c r="A4" s="317" t="str">
        <f>CONCATENATE(TableECFTransport[[#This Row],[Voertuigtype]],"_",TableECFTransport[[#This Row],[Wegtype]],"_",TableECFTransport[[#This Row],[Brandstoftechnologie]],"_",TableECFTransport[[#This Row],[Brandstof]])</f>
        <v>BUS_Niet-genummerde wegen_Diesel_Diesel</v>
      </c>
      <c r="B4" s="957" t="s">
        <v>781</v>
      </c>
      <c r="C4" s="957" t="s">
        <v>65</v>
      </c>
      <c r="D4" s="957" t="s">
        <v>203</v>
      </c>
      <c r="E4" s="957" t="s">
        <v>203</v>
      </c>
      <c r="F4" s="957">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957" t="s">
        <v>781</v>
      </c>
      <c r="C5" s="957" t="s">
        <v>64</v>
      </c>
      <c r="D5" s="956" t="s">
        <v>318</v>
      </c>
      <c r="E5" s="957" t="s">
        <v>203</v>
      </c>
      <c r="F5" s="957">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957" t="s">
        <v>781</v>
      </c>
      <c r="C6" s="957" t="s">
        <v>65</v>
      </c>
      <c r="D6" s="956" t="s">
        <v>318</v>
      </c>
      <c r="E6" s="957" t="s">
        <v>203</v>
      </c>
      <c r="F6" s="957">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773</v>
      </c>
      <c r="C7" t="s">
        <v>64</v>
      </c>
      <c r="D7" t="s">
        <v>310</v>
      </c>
      <c r="E7" t="s">
        <v>310</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773</v>
      </c>
      <c r="C8" t="s">
        <v>64</v>
      </c>
      <c r="D8" t="s">
        <v>203</v>
      </c>
      <c r="E8" t="s">
        <v>203</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773</v>
      </c>
      <c r="C9" t="s">
        <v>64</v>
      </c>
      <c r="D9" t="s">
        <v>731</v>
      </c>
      <c r="E9" t="s">
        <v>731</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773</v>
      </c>
      <c r="C10" t="s">
        <v>64</v>
      </c>
      <c r="D10" t="s">
        <v>311</v>
      </c>
      <c r="E10" t="s">
        <v>311</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773</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773</v>
      </c>
      <c r="C12" t="s">
        <v>64</v>
      </c>
      <c r="D12" t="s">
        <v>312</v>
      </c>
      <c r="E12" t="s">
        <v>312</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773</v>
      </c>
      <c r="C13" t="s">
        <v>64</v>
      </c>
      <c r="D13" t="s">
        <v>783</v>
      </c>
      <c r="E13" t="s">
        <v>312</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773</v>
      </c>
      <c r="C14" t="s">
        <v>65</v>
      </c>
      <c r="D14" t="s">
        <v>310</v>
      </c>
      <c r="E14" t="s">
        <v>310</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773</v>
      </c>
      <c r="C15" t="s">
        <v>65</v>
      </c>
      <c r="D15" t="s">
        <v>203</v>
      </c>
      <c r="E15" t="s">
        <v>203</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773</v>
      </c>
      <c r="C16" t="s">
        <v>65</v>
      </c>
      <c r="D16" t="s">
        <v>731</v>
      </c>
      <c r="E16" t="s">
        <v>731</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773</v>
      </c>
      <c r="C17" t="s">
        <v>65</v>
      </c>
      <c r="D17" t="s">
        <v>311</v>
      </c>
      <c r="E17" t="s">
        <v>311</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773</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773</v>
      </c>
      <c r="C19" t="s">
        <v>65</v>
      </c>
      <c r="D19" t="s">
        <v>312</v>
      </c>
      <c r="E19" t="s">
        <v>312</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773</v>
      </c>
      <c r="C20" t="s">
        <v>65</v>
      </c>
      <c r="D20" t="s">
        <v>783</v>
      </c>
      <c r="E20" t="s">
        <v>312</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773</v>
      </c>
      <c r="C21" t="s">
        <v>782</v>
      </c>
      <c r="D21" t="s">
        <v>310</v>
      </c>
      <c r="E21" t="s">
        <v>310</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773</v>
      </c>
      <c r="C22" t="s">
        <v>782</v>
      </c>
      <c r="D22" t="s">
        <v>203</v>
      </c>
      <c r="E22" t="s">
        <v>203</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773</v>
      </c>
      <c r="C23" t="s">
        <v>782</v>
      </c>
      <c r="D23" t="s">
        <v>731</v>
      </c>
      <c r="E23" t="s">
        <v>731</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773</v>
      </c>
      <c r="C24" t="s">
        <v>782</v>
      </c>
      <c r="D24" t="s">
        <v>311</v>
      </c>
      <c r="E24" t="s">
        <v>311</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773</v>
      </c>
      <c r="C25" t="s">
        <v>782</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773</v>
      </c>
      <c r="C26" t="s">
        <v>782</v>
      </c>
      <c r="D26" t="s">
        <v>312</v>
      </c>
      <c r="E26" t="s">
        <v>312</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773</v>
      </c>
      <c r="C27" t="s">
        <v>782</v>
      </c>
      <c r="D27" t="s">
        <v>783</v>
      </c>
      <c r="E27" t="s">
        <v>312</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775</v>
      </c>
      <c r="C28" t="s">
        <v>64</v>
      </c>
      <c r="D28" t="s">
        <v>203</v>
      </c>
      <c r="E28" t="s">
        <v>203</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775</v>
      </c>
      <c r="C29" t="s">
        <v>64</v>
      </c>
      <c r="D29" t="s">
        <v>312</v>
      </c>
      <c r="E29" t="s">
        <v>312</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775</v>
      </c>
      <c r="C30" t="s">
        <v>65</v>
      </c>
      <c r="D30" t="s">
        <v>203</v>
      </c>
      <c r="E30" t="s">
        <v>203</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775</v>
      </c>
      <c r="C31" t="s">
        <v>65</v>
      </c>
      <c r="D31" t="s">
        <v>312</v>
      </c>
      <c r="E31" t="s">
        <v>312</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775</v>
      </c>
      <c r="C32" t="s">
        <v>782</v>
      </c>
      <c r="D32" t="s">
        <v>203</v>
      </c>
      <c r="E32" t="s">
        <v>203</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775</v>
      </c>
      <c r="C33" t="s">
        <v>782</v>
      </c>
      <c r="D33" t="s">
        <v>312</v>
      </c>
      <c r="E33" t="s">
        <v>312</v>
      </c>
      <c r="F33" s="333">
        <v>6.5355741912209739E-9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387</v>
      </c>
      <c r="B2" s="841"/>
      <c r="C2" s="415"/>
    </row>
    <row r="3" spans="1:3" s="15" customFormat="1" ht="15.75">
      <c r="A3" s="98"/>
      <c r="B3" s="70"/>
      <c r="C3" s="99"/>
    </row>
    <row r="4" spans="1:3" s="333" customFormat="1">
      <c r="A4" s="395" t="s">
        <v>365</v>
      </c>
      <c r="B4" s="417" t="s">
        <v>377</v>
      </c>
      <c r="C4" s="418" t="s">
        <v>376</v>
      </c>
    </row>
    <row r="5" spans="1:3" s="333" customFormat="1">
      <c r="A5" s="419"/>
      <c r="B5" s="339"/>
      <c r="C5" s="371"/>
    </row>
    <row r="6" spans="1:3" s="333" customFormat="1">
      <c r="A6" s="420" t="s">
        <v>360</v>
      </c>
      <c r="B6" s="421" t="s">
        <v>710</v>
      </c>
      <c r="C6" s="422" t="s">
        <v>359</v>
      </c>
    </row>
    <row r="7" spans="1:3" s="333" customFormat="1">
      <c r="A7" s="423" t="s">
        <v>709</v>
      </c>
      <c r="B7" s="424" t="s">
        <v>614</v>
      </c>
      <c r="C7" s="425" t="s">
        <v>613</v>
      </c>
    </row>
    <row r="8" spans="1:3" s="333" customFormat="1">
      <c r="A8" s="454"/>
      <c r="B8" s="424"/>
      <c r="C8" s="425"/>
    </row>
    <row r="9" spans="1:3" ht="21">
      <c r="A9" s="126" t="s">
        <v>478</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3"/>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L37" sqref="L37"/>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46">
        <v>2011</v>
      </c>
      <c r="B1" s="1147"/>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48"/>
      <c r="B2" s="1149"/>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48"/>
      <c r="B3" s="1149"/>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50"/>
      <c r="B4" s="115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397</v>
      </c>
      <c r="B5" s="150" t="s">
        <v>527</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919">
        <v>0</v>
      </c>
      <c r="D7" s="919">
        <v>2.6805934962701699</v>
      </c>
      <c r="E7" s="919">
        <v>0</v>
      </c>
      <c r="F7" s="920">
        <v>2.6805934962701699</v>
      </c>
      <c r="G7" s="919">
        <v>0</v>
      </c>
      <c r="H7" s="919">
        <v>0</v>
      </c>
      <c r="I7" s="919">
        <v>2.2239599999999999</v>
      </c>
      <c r="J7" s="919">
        <v>0.50767128695107</v>
      </c>
      <c r="K7" s="919">
        <v>0</v>
      </c>
      <c r="L7" s="919">
        <v>75.824335044693584</v>
      </c>
      <c r="M7" s="919">
        <v>0</v>
      </c>
      <c r="N7" s="919">
        <v>0</v>
      </c>
      <c r="O7" s="919">
        <v>0</v>
      </c>
      <c r="P7" s="919">
        <v>0</v>
      </c>
      <c r="Q7" s="919">
        <v>0</v>
      </c>
      <c r="R7" s="920">
        <v>78.555966331644655</v>
      </c>
      <c r="S7" s="919">
        <v>81.020451572490572</v>
      </c>
      <c r="T7" s="919">
        <v>0</v>
      </c>
      <c r="U7" s="919">
        <v>0</v>
      </c>
      <c r="V7" s="920">
        <v>81.020451572490572</v>
      </c>
      <c r="W7" s="920">
        <v>162.25701140040539</v>
      </c>
      <c r="X7" s="919">
        <v>0</v>
      </c>
      <c r="Y7" s="919">
        <v>11.305601242837319</v>
      </c>
      <c r="Z7" s="919">
        <v>40.431095546363998</v>
      </c>
      <c r="AA7" s="921">
        <v>0</v>
      </c>
      <c r="AB7" s="921">
        <v>0</v>
      </c>
      <c r="AC7" s="920">
        <v>213.99370818960671</v>
      </c>
    </row>
    <row r="8" spans="1:29">
      <c r="A8" s="217" t="s">
        <v>156</v>
      </c>
      <c r="B8" s="218"/>
      <c r="C8" s="922">
        <v>0</v>
      </c>
      <c r="D8" s="922">
        <v>0</v>
      </c>
      <c r="E8" s="922">
        <v>0</v>
      </c>
      <c r="F8" s="923">
        <v>0</v>
      </c>
      <c r="G8" s="922">
        <v>0</v>
      </c>
      <c r="H8" s="922">
        <v>0</v>
      </c>
      <c r="I8" s="922">
        <v>0.93635176296261835</v>
      </c>
      <c r="J8" s="922">
        <v>0.1136256717751985</v>
      </c>
      <c r="K8" s="922">
        <v>0</v>
      </c>
      <c r="L8" s="922">
        <v>8.2141361334322767</v>
      </c>
      <c r="M8" s="922">
        <v>0</v>
      </c>
      <c r="N8" s="922">
        <v>0.40051228828026236</v>
      </c>
      <c r="O8" s="922">
        <v>0</v>
      </c>
      <c r="P8" s="922">
        <v>0</v>
      </c>
      <c r="Q8" s="922">
        <v>0</v>
      </c>
      <c r="R8" s="923">
        <v>9.6646258564503569</v>
      </c>
      <c r="S8" s="922">
        <v>39.885032712128762</v>
      </c>
      <c r="T8" s="922">
        <v>0</v>
      </c>
      <c r="U8" s="922">
        <v>0</v>
      </c>
      <c r="V8" s="923">
        <v>39.885032712128762</v>
      </c>
      <c r="W8" s="923">
        <v>49.549658568579119</v>
      </c>
      <c r="X8" s="922">
        <v>1.1778731083252698</v>
      </c>
      <c r="Y8" s="922">
        <v>1.2382813741278351</v>
      </c>
      <c r="Z8" s="922">
        <v>43.658759703935893</v>
      </c>
      <c r="AA8" s="924">
        <v>0</v>
      </c>
      <c r="AB8" s="924">
        <v>0</v>
      </c>
      <c r="AC8" s="923">
        <v>95.624572754968113</v>
      </c>
    </row>
    <row r="9" spans="1:29">
      <c r="A9" s="3"/>
      <c r="B9" s="6" t="s">
        <v>157</v>
      </c>
      <c r="C9" s="925">
        <v>0</v>
      </c>
      <c r="D9" s="925">
        <v>0</v>
      </c>
      <c r="E9" s="925">
        <v>0</v>
      </c>
      <c r="F9" s="926">
        <v>0</v>
      </c>
      <c r="G9" s="925">
        <v>0</v>
      </c>
      <c r="H9" s="925">
        <v>0</v>
      </c>
      <c r="I9" s="925">
        <v>0.23986607832345108</v>
      </c>
      <c r="J9" s="925">
        <v>0</v>
      </c>
      <c r="K9" s="925">
        <v>0</v>
      </c>
      <c r="L9" s="925">
        <v>0.74071186543813006</v>
      </c>
      <c r="M9" s="925">
        <v>0</v>
      </c>
      <c r="N9" s="925">
        <v>0</v>
      </c>
      <c r="O9" s="925">
        <v>0</v>
      </c>
      <c r="P9" s="925">
        <v>0</v>
      </c>
      <c r="Q9" s="925">
        <v>0</v>
      </c>
      <c r="R9" s="926">
        <v>0.98057794376158114</v>
      </c>
      <c r="S9" s="925">
        <v>3.9459597725550073</v>
      </c>
      <c r="T9" s="925">
        <v>0</v>
      </c>
      <c r="U9" s="925">
        <v>0</v>
      </c>
      <c r="V9" s="926">
        <v>3.9459597725550073</v>
      </c>
      <c r="W9" s="926">
        <v>4.926537716316588</v>
      </c>
      <c r="X9" s="925">
        <v>0</v>
      </c>
      <c r="Y9" s="925">
        <v>0</v>
      </c>
      <c r="Z9" s="925">
        <v>4.2519422209400766</v>
      </c>
      <c r="AA9" s="927">
        <v>0</v>
      </c>
      <c r="AB9" s="927">
        <v>0</v>
      </c>
      <c r="AC9" s="926">
        <v>9.1784799372566646</v>
      </c>
    </row>
    <row r="10" spans="1:29">
      <c r="A10" s="3"/>
      <c r="B10" s="6" t="s">
        <v>158</v>
      </c>
      <c r="C10" s="925">
        <v>0</v>
      </c>
      <c r="D10" s="925">
        <v>0</v>
      </c>
      <c r="E10" s="925">
        <v>0</v>
      </c>
      <c r="F10" s="926">
        <v>0</v>
      </c>
      <c r="G10" s="925">
        <v>0</v>
      </c>
      <c r="H10" s="925">
        <v>0</v>
      </c>
      <c r="I10" s="925">
        <v>1.1479243261291476E-3</v>
      </c>
      <c r="J10" s="925">
        <v>0</v>
      </c>
      <c r="K10" s="925">
        <v>0</v>
      </c>
      <c r="L10" s="925">
        <v>0.67500914773328857</v>
      </c>
      <c r="M10" s="925">
        <v>0</v>
      </c>
      <c r="N10" s="925">
        <v>7.070841878929539E-3</v>
      </c>
      <c r="O10" s="925">
        <v>0</v>
      </c>
      <c r="P10" s="925">
        <v>0</v>
      </c>
      <c r="Q10" s="925">
        <v>0</v>
      </c>
      <c r="R10" s="926">
        <v>0.68322791393834736</v>
      </c>
      <c r="S10" s="925">
        <v>5.0008933498534036</v>
      </c>
      <c r="T10" s="925">
        <v>0</v>
      </c>
      <c r="U10" s="925">
        <v>0</v>
      </c>
      <c r="V10" s="926">
        <v>5.0008933498534036</v>
      </c>
      <c r="W10" s="926">
        <v>5.6841212637917513</v>
      </c>
      <c r="X10" s="925">
        <v>0</v>
      </c>
      <c r="Y10" s="925">
        <v>2.3935049200000003E-2</v>
      </c>
      <c r="Z10" s="925">
        <v>2.7694669470828974</v>
      </c>
      <c r="AA10" s="927">
        <v>0</v>
      </c>
      <c r="AB10" s="927">
        <v>0</v>
      </c>
      <c r="AC10" s="926">
        <v>8.4775232600746495</v>
      </c>
    </row>
    <row r="11" spans="1:29">
      <c r="A11" s="3"/>
      <c r="B11" s="6" t="s">
        <v>159</v>
      </c>
      <c r="C11" s="925">
        <v>0</v>
      </c>
      <c r="D11" s="925">
        <v>0</v>
      </c>
      <c r="E11" s="925">
        <v>0</v>
      </c>
      <c r="F11" s="926">
        <v>0</v>
      </c>
      <c r="G11" s="925">
        <v>0</v>
      </c>
      <c r="H11" s="925">
        <v>0</v>
      </c>
      <c r="I11" s="925">
        <v>1.4339483086039156E-3</v>
      </c>
      <c r="J11" s="925">
        <v>0</v>
      </c>
      <c r="K11" s="925">
        <v>0</v>
      </c>
      <c r="L11" s="925">
        <v>1.3616964244893957</v>
      </c>
      <c r="M11" s="925">
        <v>0</v>
      </c>
      <c r="N11" s="925">
        <v>0</v>
      </c>
      <c r="O11" s="925">
        <v>0</v>
      </c>
      <c r="P11" s="925">
        <v>0</v>
      </c>
      <c r="Q11" s="925">
        <v>0</v>
      </c>
      <c r="R11" s="926">
        <v>1.3631303727979995</v>
      </c>
      <c r="S11" s="925">
        <v>5.5273920774377121</v>
      </c>
      <c r="T11" s="925">
        <v>0</v>
      </c>
      <c r="U11" s="925">
        <v>0</v>
      </c>
      <c r="V11" s="926">
        <v>5.5273920774377121</v>
      </c>
      <c r="W11" s="926">
        <v>6.8905224502357116</v>
      </c>
      <c r="X11" s="925">
        <v>0</v>
      </c>
      <c r="Y11" s="925">
        <v>5.5458E-3</v>
      </c>
      <c r="Z11" s="925">
        <v>1.881693343564848</v>
      </c>
      <c r="AA11" s="927">
        <v>0</v>
      </c>
      <c r="AB11" s="927">
        <v>0</v>
      </c>
      <c r="AC11" s="926">
        <v>8.7777615938005589</v>
      </c>
    </row>
    <row r="12" spans="1:29">
      <c r="A12" s="3"/>
      <c r="B12" s="6" t="s">
        <v>160</v>
      </c>
      <c r="C12" s="925">
        <v>0</v>
      </c>
      <c r="D12" s="925">
        <v>0</v>
      </c>
      <c r="E12" s="925">
        <v>0</v>
      </c>
      <c r="F12" s="926">
        <v>0</v>
      </c>
      <c r="G12" s="925">
        <v>0</v>
      </c>
      <c r="H12" s="925">
        <v>0</v>
      </c>
      <c r="I12" s="925">
        <v>0.59883151513920008</v>
      </c>
      <c r="J12" s="925">
        <v>2.5976865406703159E-3</v>
      </c>
      <c r="K12" s="925">
        <v>0</v>
      </c>
      <c r="L12" s="925">
        <v>2.5938717385006922</v>
      </c>
      <c r="M12" s="925">
        <v>0</v>
      </c>
      <c r="N12" s="925">
        <v>0</v>
      </c>
      <c r="O12" s="925">
        <v>0</v>
      </c>
      <c r="P12" s="925">
        <v>0</v>
      </c>
      <c r="Q12" s="925">
        <v>0</v>
      </c>
      <c r="R12" s="926">
        <v>3.1953009401805623</v>
      </c>
      <c r="S12" s="925">
        <v>14.214693837786118</v>
      </c>
      <c r="T12" s="925">
        <v>0</v>
      </c>
      <c r="U12" s="925">
        <v>0</v>
      </c>
      <c r="V12" s="926">
        <v>14.214693837786118</v>
      </c>
      <c r="W12" s="926">
        <v>17.409994777966681</v>
      </c>
      <c r="X12" s="925">
        <v>4.9274108325270002E-2</v>
      </c>
      <c r="Y12" s="925">
        <v>0.13223600000000002</v>
      </c>
      <c r="Z12" s="925">
        <v>17.107549096442991</v>
      </c>
      <c r="AA12" s="927">
        <v>0</v>
      </c>
      <c r="AB12" s="927">
        <v>0</v>
      </c>
      <c r="AC12" s="926">
        <v>34.699053982734938</v>
      </c>
    </row>
    <row r="13" spans="1:29">
      <c r="A13" s="3"/>
      <c r="B13" s="6" t="s">
        <v>161</v>
      </c>
      <c r="C13" s="925">
        <v>0</v>
      </c>
      <c r="D13" s="925">
        <v>0</v>
      </c>
      <c r="E13" s="925">
        <v>0</v>
      </c>
      <c r="F13" s="926">
        <v>0</v>
      </c>
      <c r="G13" s="925">
        <v>0</v>
      </c>
      <c r="H13" s="925">
        <v>0</v>
      </c>
      <c r="I13" s="925">
        <v>6.6758629432907293E-2</v>
      </c>
      <c r="J13" s="925">
        <v>0</v>
      </c>
      <c r="K13" s="925">
        <v>0</v>
      </c>
      <c r="L13" s="925">
        <v>2.0032197975617003</v>
      </c>
      <c r="M13" s="925">
        <v>0</v>
      </c>
      <c r="N13" s="925">
        <v>1.7184242162E-3</v>
      </c>
      <c r="O13" s="925">
        <v>0</v>
      </c>
      <c r="P13" s="925">
        <v>0</v>
      </c>
      <c r="Q13" s="925">
        <v>0</v>
      </c>
      <c r="R13" s="926">
        <v>2.0716968512108074</v>
      </c>
      <c r="S13" s="925">
        <v>7.6799284465500124</v>
      </c>
      <c r="T13" s="925">
        <v>0</v>
      </c>
      <c r="U13" s="925">
        <v>0</v>
      </c>
      <c r="V13" s="926">
        <v>7.6799284465500124</v>
      </c>
      <c r="W13" s="926">
        <v>9.7516252977608193</v>
      </c>
      <c r="X13" s="925">
        <v>0</v>
      </c>
      <c r="Y13" s="925">
        <v>6.081894E-3</v>
      </c>
      <c r="Z13" s="925">
        <v>13.003496410008108</v>
      </c>
      <c r="AA13" s="927">
        <v>0</v>
      </c>
      <c r="AB13" s="927">
        <v>0</v>
      </c>
      <c r="AC13" s="926">
        <v>22.761203601768926</v>
      </c>
    </row>
    <row r="14" spans="1:29">
      <c r="A14" s="219"/>
      <c r="B14" s="220" t="s">
        <v>162</v>
      </c>
      <c r="C14" s="928">
        <v>0</v>
      </c>
      <c r="D14" s="928">
        <v>0</v>
      </c>
      <c r="E14" s="928">
        <v>0</v>
      </c>
      <c r="F14" s="929">
        <v>0</v>
      </c>
      <c r="G14" s="925">
        <v>0</v>
      </c>
      <c r="H14" s="925">
        <v>0</v>
      </c>
      <c r="I14" s="925">
        <v>2.8313667432326828E-2</v>
      </c>
      <c r="J14" s="925">
        <v>0.11102798523452818</v>
      </c>
      <c r="K14" s="925">
        <v>0</v>
      </c>
      <c r="L14" s="925">
        <v>0.83962715970907087</v>
      </c>
      <c r="M14" s="925">
        <v>0</v>
      </c>
      <c r="N14" s="925">
        <v>0.39172302218513283</v>
      </c>
      <c r="O14" s="925">
        <v>0</v>
      </c>
      <c r="P14" s="925">
        <v>0</v>
      </c>
      <c r="Q14" s="925">
        <v>0</v>
      </c>
      <c r="R14" s="929">
        <v>1.3706918345610588</v>
      </c>
      <c r="S14" s="925">
        <v>3.5161652279465105</v>
      </c>
      <c r="T14" s="928">
        <v>0</v>
      </c>
      <c r="U14" s="928">
        <v>0</v>
      </c>
      <c r="V14" s="929">
        <v>3.5161652279465105</v>
      </c>
      <c r="W14" s="929">
        <v>4.8868570625075698</v>
      </c>
      <c r="X14" s="925">
        <v>1.1285989999999999</v>
      </c>
      <c r="Y14" s="925">
        <v>1.070482630927835</v>
      </c>
      <c r="Z14" s="925">
        <v>4.6446116858969688</v>
      </c>
      <c r="AA14" s="930">
        <v>0</v>
      </c>
      <c r="AB14" s="930">
        <v>0</v>
      </c>
      <c r="AC14" s="929">
        <v>11.730550379332373</v>
      </c>
    </row>
    <row r="15" spans="1:29">
      <c r="A15" s="217" t="s">
        <v>163</v>
      </c>
      <c r="B15" s="221"/>
      <c r="C15" s="931">
        <v>0</v>
      </c>
      <c r="D15" s="931">
        <v>4.6294683399999897E-2</v>
      </c>
      <c r="E15" s="931">
        <v>0.27958403999999998</v>
      </c>
      <c r="F15" s="932">
        <v>0.3258787233999999</v>
      </c>
      <c r="G15" s="931">
        <v>0</v>
      </c>
      <c r="H15" s="931">
        <v>0</v>
      </c>
      <c r="I15" s="931">
        <v>0.43677774631650601</v>
      </c>
      <c r="J15" s="931">
        <v>0.177079042996164</v>
      </c>
      <c r="K15" s="931">
        <v>0</v>
      </c>
      <c r="L15" s="931">
        <v>8.152548427772965</v>
      </c>
      <c r="M15" s="931">
        <v>0</v>
      </c>
      <c r="N15" s="931">
        <v>1.5225393158196623</v>
      </c>
      <c r="O15" s="931">
        <v>0</v>
      </c>
      <c r="P15" s="931">
        <v>0.73553042499999999</v>
      </c>
      <c r="Q15" s="931">
        <v>0</v>
      </c>
      <c r="R15" s="932">
        <v>11.024474957905298</v>
      </c>
      <c r="S15" s="931">
        <v>34.11080161185599</v>
      </c>
      <c r="T15" s="931">
        <v>0</v>
      </c>
      <c r="U15" s="931">
        <v>0</v>
      </c>
      <c r="V15" s="932">
        <v>34.11080161185599</v>
      </c>
      <c r="W15" s="932">
        <v>45.461155293161291</v>
      </c>
      <c r="X15" s="931">
        <v>4.3920904048954288</v>
      </c>
      <c r="Y15" s="931">
        <v>0.87095798458799956</v>
      </c>
      <c r="Z15" s="931">
        <v>48.397694433966471</v>
      </c>
      <c r="AA15" s="933">
        <v>0</v>
      </c>
      <c r="AB15" s="933">
        <v>0</v>
      </c>
      <c r="AC15" s="932">
        <v>99.121898116611206</v>
      </c>
    </row>
    <row r="16" spans="1:29">
      <c r="A16" s="5"/>
      <c r="B16" s="6" t="s">
        <v>35</v>
      </c>
      <c r="C16" s="934">
        <v>0</v>
      </c>
      <c r="D16" s="934">
        <v>0</v>
      </c>
      <c r="E16" s="934">
        <v>0</v>
      </c>
      <c r="F16" s="926">
        <v>0</v>
      </c>
      <c r="G16" s="934">
        <v>0</v>
      </c>
      <c r="H16" s="934">
        <v>0</v>
      </c>
      <c r="I16" s="934">
        <v>2.24482776E-3</v>
      </c>
      <c r="J16" s="934">
        <v>0</v>
      </c>
      <c r="K16" s="934">
        <v>0</v>
      </c>
      <c r="L16" s="934">
        <v>0</v>
      </c>
      <c r="M16" s="934">
        <v>0</v>
      </c>
      <c r="N16" s="934">
        <v>3.8862360000000012E-3</v>
      </c>
      <c r="O16" s="934">
        <v>0</v>
      </c>
      <c r="P16" s="934">
        <v>0</v>
      </c>
      <c r="Q16" s="934">
        <v>0</v>
      </c>
      <c r="R16" s="926">
        <v>6.1310637600000013E-3</v>
      </c>
      <c r="S16" s="934">
        <v>6.3671612045999026E-2</v>
      </c>
      <c r="T16" s="934">
        <v>0</v>
      </c>
      <c r="U16" s="934">
        <v>0</v>
      </c>
      <c r="V16" s="935">
        <v>6.3671612045999026E-2</v>
      </c>
      <c r="W16" s="926">
        <v>6.9802675805999026E-2</v>
      </c>
      <c r="X16" s="934">
        <v>0</v>
      </c>
      <c r="Y16" s="934">
        <v>0</v>
      </c>
      <c r="Z16" s="934">
        <v>0</v>
      </c>
      <c r="AA16" s="927">
        <v>0</v>
      </c>
      <c r="AB16" s="927">
        <v>0</v>
      </c>
      <c r="AC16" s="926">
        <v>6.9802675805999026E-2</v>
      </c>
    </row>
    <row r="17" spans="1:31">
      <c r="A17" s="5"/>
      <c r="B17" s="6" t="s">
        <v>38</v>
      </c>
      <c r="C17" s="934">
        <v>0</v>
      </c>
      <c r="D17" s="934">
        <v>0</v>
      </c>
      <c r="E17" s="934">
        <v>0.15866815000000001</v>
      </c>
      <c r="F17" s="926">
        <v>0.15866815000000001</v>
      </c>
      <c r="G17" s="934">
        <v>0</v>
      </c>
      <c r="H17" s="934">
        <v>0</v>
      </c>
      <c r="I17" s="934">
        <v>7.1204537699999992E-4</v>
      </c>
      <c r="J17" s="934">
        <v>0</v>
      </c>
      <c r="K17" s="934">
        <v>0</v>
      </c>
      <c r="L17" s="934">
        <v>6.9550615690955997E-2</v>
      </c>
      <c r="M17" s="934">
        <v>0</v>
      </c>
      <c r="N17" s="934">
        <v>0.22275191983999998</v>
      </c>
      <c r="O17" s="934">
        <v>0</v>
      </c>
      <c r="P17" s="934">
        <v>5.9200250000000024E-3</v>
      </c>
      <c r="Q17" s="934">
        <v>0</v>
      </c>
      <c r="R17" s="926">
        <v>0.29893460590795595</v>
      </c>
      <c r="S17" s="934">
        <v>0.45487571287393358</v>
      </c>
      <c r="T17" s="934">
        <v>0</v>
      </c>
      <c r="U17" s="934">
        <v>0</v>
      </c>
      <c r="V17" s="935">
        <v>0.45487571287393358</v>
      </c>
      <c r="W17" s="926">
        <v>0.91247846878188954</v>
      </c>
      <c r="X17" s="934">
        <v>6.2216309999999997E-2</v>
      </c>
      <c r="Y17" s="934">
        <v>0</v>
      </c>
      <c r="Z17" s="934">
        <v>0.84512268719999817</v>
      </c>
      <c r="AA17" s="927">
        <v>0</v>
      </c>
      <c r="AB17" s="927">
        <v>0</v>
      </c>
      <c r="AC17" s="926">
        <v>1.8198174659818878</v>
      </c>
    </row>
    <row r="18" spans="1:31">
      <c r="A18" s="5"/>
      <c r="B18" s="6" t="s">
        <v>36</v>
      </c>
      <c r="C18" s="934">
        <v>0</v>
      </c>
      <c r="D18" s="934">
        <v>0</v>
      </c>
      <c r="E18" s="934">
        <v>0.11157439999999999</v>
      </c>
      <c r="F18" s="926">
        <v>0.11157439999999999</v>
      </c>
      <c r="G18" s="934">
        <v>0</v>
      </c>
      <c r="H18" s="934">
        <v>0</v>
      </c>
      <c r="I18" s="934">
        <v>3.7999359550091011E-2</v>
      </c>
      <c r="J18" s="934">
        <v>0</v>
      </c>
      <c r="K18" s="934">
        <v>0</v>
      </c>
      <c r="L18" s="934">
        <v>0.53858611592464256</v>
      </c>
      <c r="M18" s="934">
        <v>0</v>
      </c>
      <c r="N18" s="934">
        <v>5.5157781060228055E-2</v>
      </c>
      <c r="O18" s="934">
        <v>0</v>
      </c>
      <c r="P18" s="934">
        <v>0</v>
      </c>
      <c r="Q18" s="934">
        <v>0</v>
      </c>
      <c r="R18" s="926">
        <v>0.63174325653496166</v>
      </c>
      <c r="S18" s="934">
        <v>6.9477279689110736</v>
      </c>
      <c r="T18" s="934">
        <v>0</v>
      </c>
      <c r="U18" s="934">
        <v>0</v>
      </c>
      <c r="V18" s="935">
        <v>6.9477279689110736</v>
      </c>
      <c r="W18" s="926">
        <v>7.6910456254460353</v>
      </c>
      <c r="X18" s="934">
        <v>0</v>
      </c>
      <c r="Y18" s="934">
        <v>2.0268793E-2</v>
      </c>
      <c r="Z18" s="934">
        <v>5.4077917639420789</v>
      </c>
      <c r="AA18" s="927">
        <v>0</v>
      </c>
      <c r="AB18" s="927">
        <v>0</v>
      </c>
      <c r="AC18" s="926">
        <v>13.119106182388114</v>
      </c>
    </row>
    <row r="19" spans="1:31">
      <c r="A19" s="5"/>
      <c r="B19" s="6" t="s">
        <v>33</v>
      </c>
      <c r="C19" s="934">
        <v>0</v>
      </c>
      <c r="D19" s="934">
        <v>7.3249999999999997E-4</v>
      </c>
      <c r="E19" s="934">
        <v>0</v>
      </c>
      <c r="F19" s="926">
        <v>7.3249999999999997E-4</v>
      </c>
      <c r="G19" s="934">
        <v>0</v>
      </c>
      <c r="H19" s="934">
        <v>0</v>
      </c>
      <c r="I19" s="934">
        <v>0.13641284933346731</v>
      </c>
      <c r="J19" s="934">
        <v>0.17707614049616399</v>
      </c>
      <c r="K19" s="934">
        <v>0</v>
      </c>
      <c r="L19" s="934">
        <v>6.141552787890217</v>
      </c>
      <c r="M19" s="934">
        <v>0</v>
      </c>
      <c r="N19" s="934">
        <v>0.20748075177743647</v>
      </c>
      <c r="O19" s="934">
        <v>0</v>
      </c>
      <c r="P19" s="934">
        <v>0</v>
      </c>
      <c r="Q19" s="934">
        <v>0</v>
      </c>
      <c r="R19" s="926">
        <v>6.6625225294972843</v>
      </c>
      <c r="S19" s="934">
        <v>6.5794731641534856</v>
      </c>
      <c r="T19" s="934">
        <v>0</v>
      </c>
      <c r="U19" s="934">
        <v>0</v>
      </c>
      <c r="V19" s="935">
        <v>6.5794731641534856</v>
      </c>
      <c r="W19" s="926">
        <v>13.24272819365077</v>
      </c>
      <c r="X19" s="934">
        <v>0.47487000000000001</v>
      </c>
      <c r="Y19" s="934">
        <v>0.60194363099799952</v>
      </c>
      <c r="Z19" s="934">
        <v>8.1216373926762166</v>
      </c>
      <c r="AA19" s="927">
        <v>0</v>
      </c>
      <c r="AB19" s="927">
        <v>0</v>
      </c>
      <c r="AC19" s="926">
        <v>22.441179217324986</v>
      </c>
    </row>
    <row r="20" spans="1:31">
      <c r="A20" s="5"/>
      <c r="B20" s="6" t="s">
        <v>41</v>
      </c>
      <c r="C20" s="934">
        <v>0</v>
      </c>
      <c r="D20" s="934">
        <v>4.5483662999999952E-2</v>
      </c>
      <c r="E20" s="934">
        <v>-1.0947800000000001E-3</v>
      </c>
      <c r="F20" s="926">
        <v>4.4388882999999948E-2</v>
      </c>
      <c r="G20" s="934">
        <v>0</v>
      </c>
      <c r="H20" s="934">
        <v>0</v>
      </c>
      <c r="I20" s="934">
        <v>9.8329590746062137E-2</v>
      </c>
      <c r="J20" s="934">
        <v>0</v>
      </c>
      <c r="K20" s="934">
        <v>0</v>
      </c>
      <c r="L20" s="934">
        <v>0.83076581022245177</v>
      </c>
      <c r="M20" s="934">
        <v>0</v>
      </c>
      <c r="N20" s="934">
        <v>0.90798485776912075</v>
      </c>
      <c r="O20" s="934">
        <v>0</v>
      </c>
      <c r="P20" s="934">
        <v>0</v>
      </c>
      <c r="Q20" s="934">
        <v>0</v>
      </c>
      <c r="R20" s="926">
        <v>1.8370802587376347</v>
      </c>
      <c r="S20" s="934">
        <v>7.2420871481679132</v>
      </c>
      <c r="T20" s="934">
        <v>0</v>
      </c>
      <c r="U20" s="934">
        <v>0</v>
      </c>
      <c r="V20" s="935">
        <v>7.2420871481679132</v>
      </c>
      <c r="W20" s="926">
        <v>9.1235562899055473</v>
      </c>
      <c r="X20" s="934">
        <v>0</v>
      </c>
      <c r="Y20" s="934">
        <v>0.15766658219000007</v>
      </c>
      <c r="Z20" s="934">
        <v>10.777517464185561</v>
      </c>
      <c r="AA20" s="927">
        <v>0</v>
      </c>
      <c r="AB20" s="927">
        <v>0</v>
      </c>
      <c r="AC20" s="926">
        <v>20.058740336281108</v>
      </c>
    </row>
    <row r="21" spans="1:31">
      <c r="A21" s="5"/>
      <c r="B21" s="6" t="s">
        <v>40</v>
      </c>
      <c r="C21" s="934">
        <v>0</v>
      </c>
      <c r="D21" s="934">
        <v>0</v>
      </c>
      <c r="E21" s="934">
        <v>0</v>
      </c>
      <c r="F21" s="926">
        <v>0</v>
      </c>
      <c r="G21" s="934">
        <v>0</v>
      </c>
      <c r="H21" s="934">
        <v>0</v>
      </c>
      <c r="I21" s="934">
        <v>6.2368312986916764E-3</v>
      </c>
      <c r="J21" s="934">
        <v>0</v>
      </c>
      <c r="K21" s="934">
        <v>0</v>
      </c>
      <c r="L21" s="934">
        <v>4.3105495243907922E-2</v>
      </c>
      <c r="M21" s="934">
        <v>0</v>
      </c>
      <c r="N21" s="934">
        <v>1.5346453908877336E-2</v>
      </c>
      <c r="O21" s="934">
        <v>0</v>
      </c>
      <c r="P21" s="934">
        <v>0</v>
      </c>
      <c r="Q21" s="934">
        <v>0</v>
      </c>
      <c r="R21" s="926">
        <v>6.4688780451476927E-2</v>
      </c>
      <c r="S21" s="934">
        <v>3.9634230005757067</v>
      </c>
      <c r="T21" s="934">
        <v>0</v>
      </c>
      <c r="U21" s="934">
        <v>0</v>
      </c>
      <c r="V21" s="935">
        <v>3.9634230005757067</v>
      </c>
      <c r="W21" s="926">
        <v>4.0281117810271834</v>
      </c>
      <c r="X21" s="934">
        <v>0</v>
      </c>
      <c r="Y21" s="934">
        <v>1.9397999999999999E-2</v>
      </c>
      <c r="Z21" s="934">
        <v>2.7344754590981495</v>
      </c>
      <c r="AA21" s="927">
        <v>0</v>
      </c>
      <c r="AB21" s="927">
        <v>0</v>
      </c>
      <c r="AC21" s="926">
        <v>6.7819852401253327</v>
      </c>
    </row>
    <row r="22" spans="1:31">
      <c r="A22" s="5"/>
      <c r="B22" s="6" t="s">
        <v>37</v>
      </c>
      <c r="C22" s="934">
        <v>0</v>
      </c>
      <c r="D22" s="934">
        <v>7.852039999994842E-5</v>
      </c>
      <c r="E22" s="934">
        <v>1.0436270000000001E-2</v>
      </c>
      <c r="F22" s="926">
        <v>1.0514790399999949E-2</v>
      </c>
      <c r="G22" s="934">
        <v>0</v>
      </c>
      <c r="H22" s="934">
        <v>0</v>
      </c>
      <c r="I22" s="934">
        <v>4.5910923805786374E-2</v>
      </c>
      <c r="J22" s="934">
        <v>2.9024999999999997E-6</v>
      </c>
      <c r="K22" s="934">
        <v>0</v>
      </c>
      <c r="L22" s="934">
        <v>0.20881870495472327</v>
      </c>
      <c r="M22" s="934">
        <v>0</v>
      </c>
      <c r="N22" s="934">
        <v>-1.2131777027999835E-2</v>
      </c>
      <c r="O22" s="934">
        <v>0</v>
      </c>
      <c r="P22" s="934">
        <v>0</v>
      </c>
      <c r="Q22" s="934">
        <v>0</v>
      </c>
      <c r="R22" s="926">
        <v>0.24260075423250982</v>
      </c>
      <c r="S22" s="934">
        <v>1.0767462052923999</v>
      </c>
      <c r="T22" s="934">
        <v>0</v>
      </c>
      <c r="U22" s="934">
        <v>0</v>
      </c>
      <c r="V22" s="935">
        <v>1.0767462052923999</v>
      </c>
      <c r="W22" s="926">
        <v>1.3298617499249097</v>
      </c>
      <c r="X22" s="934">
        <v>1.0760059310000001</v>
      </c>
      <c r="Y22" s="934">
        <v>0</v>
      </c>
      <c r="Z22" s="934">
        <v>1.8510042782840566</v>
      </c>
      <c r="AA22" s="927">
        <v>0</v>
      </c>
      <c r="AB22" s="927">
        <v>0</v>
      </c>
      <c r="AC22" s="926">
        <v>4.2568719592089668</v>
      </c>
    </row>
    <row r="23" spans="1:31">
      <c r="A23" s="5"/>
      <c r="B23" s="6" t="s">
        <v>39</v>
      </c>
      <c r="C23" s="934">
        <v>0</v>
      </c>
      <c r="D23" s="934">
        <v>0</v>
      </c>
      <c r="E23" s="934">
        <v>0</v>
      </c>
      <c r="F23" s="926">
        <v>0</v>
      </c>
      <c r="G23" s="934">
        <v>0</v>
      </c>
      <c r="H23" s="934">
        <v>0</v>
      </c>
      <c r="I23" s="934">
        <v>5.6950570951867528E-2</v>
      </c>
      <c r="J23" s="934">
        <v>0</v>
      </c>
      <c r="K23" s="934">
        <v>0</v>
      </c>
      <c r="L23" s="934">
        <v>0.34388259705726382</v>
      </c>
      <c r="M23" s="934">
        <v>0</v>
      </c>
      <c r="N23" s="934">
        <v>4.9150300000000001E-2</v>
      </c>
      <c r="O23" s="934">
        <v>0</v>
      </c>
      <c r="P23" s="934">
        <v>0</v>
      </c>
      <c r="Q23" s="934">
        <v>0</v>
      </c>
      <c r="R23" s="926">
        <v>0.4499834680091313</v>
      </c>
      <c r="S23" s="934">
        <v>0.53969360671919997</v>
      </c>
      <c r="T23" s="934">
        <v>0</v>
      </c>
      <c r="U23" s="934">
        <v>0</v>
      </c>
      <c r="V23" s="935">
        <v>0.53969360671919997</v>
      </c>
      <c r="W23" s="926">
        <v>0.98967707472833122</v>
      </c>
      <c r="X23" s="934">
        <v>0.66275824246685622</v>
      </c>
      <c r="Y23" s="934">
        <v>0</v>
      </c>
      <c r="Z23" s="934">
        <v>3.3297063332112988</v>
      </c>
      <c r="AA23" s="927">
        <v>0</v>
      </c>
      <c r="AB23" s="927">
        <v>0</v>
      </c>
      <c r="AC23" s="926">
        <v>4.9821416504064864</v>
      </c>
    </row>
    <row r="24" spans="1:31">
      <c r="A24" s="222"/>
      <c r="B24" s="220" t="s">
        <v>34</v>
      </c>
      <c r="C24" s="934">
        <v>0</v>
      </c>
      <c r="D24" s="934">
        <v>0</v>
      </c>
      <c r="E24" s="934">
        <v>0</v>
      </c>
      <c r="F24" s="926">
        <v>0</v>
      </c>
      <c r="G24" s="934">
        <v>0</v>
      </c>
      <c r="H24" s="934">
        <v>0</v>
      </c>
      <c r="I24" s="934">
        <v>5.1980747493540001E-2</v>
      </c>
      <c r="J24" s="934">
        <v>0</v>
      </c>
      <c r="K24" s="934">
        <v>0</v>
      </c>
      <c r="L24" s="934">
        <v>-2.3713699211196759E-2</v>
      </c>
      <c r="M24" s="934">
        <v>0</v>
      </c>
      <c r="N24" s="934">
        <v>7.2912792491999667E-2</v>
      </c>
      <c r="O24" s="934">
        <v>0</v>
      </c>
      <c r="P24" s="934">
        <v>0.72961039999999999</v>
      </c>
      <c r="Q24" s="934">
        <v>0</v>
      </c>
      <c r="R24" s="926">
        <v>0.83079024077434294</v>
      </c>
      <c r="S24" s="934">
        <v>7.2431031931162835</v>
      </c>
      <c r="T24" s="934">
        <v>0</v>
      </c>
      <c r="U24" s="934">
        <v>0</v>
      </c>
      <c r="V24" s="935">
        <v>7.2431031931162835</v>
      </c>
      <c r="W24" s="926">
        <v>8.0738934338906265</v>
      </c>
      <c r="X24" s="934">
        <v>2.1162399214285728</v>
      </c>
      <c r="Y24" s="934">
        <v>7.1680978399999998E-2</v>
      </c>
      <c r="Z24" s="934">
        <v>15.330439055369112</v>
      </c>
      <c r="AA24" s="927">
        <v>0</v>
      </c>
      <c r="AB24" s="927">
        <v>0</v>
      </c>
      <c r="AC24" s="926">
        <v>25.592253389088313</v>
      </c>
    </row>
    <row r="25" spans="1:31">
      <c r="A25" s="5" t="s">
        <v>112</v>
      </c>
      <c r="B25" s="128"/>
      <c r="C25" s="936">
        <v>0</v>
      </c>
      <c r="D25" s="937">
        <v>0.20888365520050314</v>
      </c>
      <c r="E25" s="931">
        <v>0</v>
      </c>
      <c r="F25" s="932">
        <v>0.20888365520050314</v>
      </c>
      <c r="G25" s="922">
        <v>0</v>
      </c>
      <c r="H25" s="922">
        <v>0</v>
      </c>
      <c r="I25" s="922">
        <v>2.449334066259019E-2</v>
      </c>
      <c r="J25" s="922">
        <v>0.10148290284892604</v>
      </c>
      <c r="K25" s="922">
        <v>0</v>
      </c>
      <c r="L25" s="922">
        <v>11.080486705586553</v>
      </c>
      <c r="M25" s="922">
        <v>0</v>
      </c>
      <c r="N25" s="922">
        <v>0.93241406698096574</v>
      </c>
      <c r="O25" s="922">
        <v>0</v>
      </c>
      <c r="P25" s="922">
        <v>0</v>
      </c>
      <c r="Q25" s="922">
        <v>0</v>
      </c>
      <c r="R25" s="932">
        <v>12.138877016079034</v>
      </c>
      <c r="S25" s="922">
        <v>13.121942999999998</v>
      </c>
      <c r="T25" s="931">
        <v>0</v>
      </c>
      <c r="U25" s="931">
        <v>0</v>
      </c>
      <c r="V25" s="932">
        <v>13.121942999999998</v>
      </c>
      <c r="W25" s="932">
        <v>25.469703671279532</v>
      </c>
      <c r="X25" s="931">
        <v>0</v>
      </c>
      <c r="Y25" s="922">
        <v>2.15641768847243</v>
      </c>
      <c r="Z25" s="924">
        <v>-0.878572647494688</v>
      </c>
      <c r="AA25" s="933">
        <v>0</v>
      </c>
      <c r="AB25" s="933">
        <v>0</v>
      </c>
      <c r="AC25" s="923">
        <v>26.747548712257277</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2.3388879215053437</v>
      </c>
      <c r="AA26" s="941"/>
      <c r="AB26" s="938"/>
      <c r="AC26" s="939"/>
      <c r="AE26" s="38"/>
    </row>
    <row r="27" spans="1:31">
      <c r="A27" s="3"/>
      <c r="B27" s="6" t="s">
        <v>164</v>
      </c>
      <c r="C27" s="925">
        <v>0</v>
      </c>
      <c r="D27" s="925">
        <v>1.216028965681021E-2</v>
      </c>
      <c r="E27" s="925">
        <v>0</v>
      </c>
      <c r="F27" s="926">
        <v>1.216028965681021E-2</v>
      </c>
      <c r="G27" s="925"/>
      <c r="H27" s="925"/>
      <c r="I27" s="925">
        <v>1.1515256875146705E-2</v>
      </c>
      <c r="J27" s="925">
        <v>2.5269448014061439E-3</v>
      </c>
      <c r="K27" s="925"/>
      <c r="L27" s="925">
        <v>5.7232441494046729</v>
      </c>
      <c r="M27" s="925">
        <v>0</v>
      </c>
      <c r="N27" s="925">
        <v>0</v>
      </c>
      <c r="O27" s="925">
        <v>0</v>
      </c>
      <c r="P27" s="925">
        <v>0</v>
      </c>
      <c r="Q27" s="925">
        <v>0</v>
      </c>
      <c r="R27" s="926">
        <v>5.7372863510812255</v>
      </c>
      <c r="S27" s="925">
        <v>0.15661599999999998</v>
      </c>
      <c r="T27" s="925">
        <v>0</v>
      </c>
      <c r="U27" s="925">
        <v>0</v>
      </c>
      <c r="V27" s="926">
        <v>0.15661599999999998</v>
      </c>
      <c r="W27" s="926">
        <v>5.9060626407380354</v>
      </c>
      <c r="X27" s="925">
        <v>0</v>
      </c>
      <c r="Y27" s="925">
        <v>1.1398514487638585</v>
      </c>
      <c r="Z27" s="925">
        <v>2.0298836914009635</v>
      </c>
      <c r="AA27" s="927">
        <v>0</v>
      </c>
      <c r="AB27" s="927">
        <v>0</v>
      </c>
      <c r="AC27" s="926">
        <v>9.0757977809028567</v>
      </c>
    </row>
    <row r="28" spans="1:31">
      <c r="A28" s="3"/>
      <c r="B28" s="6" t="s">
        <v>165</v>
      </c>
      <c r="C28" s="925">
        <v>0</v>
      </c>
      <c r="D28" s="925">
        <v>3.2916427119333906E-4</v>
      </c>
      <c r="E28" s="925">
        <v>0</v>
      </c>
      <c r="F28" s="926">
        <v>3.2916427119333906E-4</v>
      </c>
      <c r="G28" s="925"/>
      <c r="H28" s="925"/>
      <c r="I28" s="925">
        <v>3.0816399639897536E-3</v>
      </c>
      <c r="J28" s="925">
        <v>4.8222195689959625E-5</v>
      </c>
      <c r="K28" s="925"/>
      <c r="L28" s="925">
        <v>1.6844584348927525</v>
      </c>
      <c r="M28" s="925">
        <v>0</v>
      </c>
      <c r="N28" s="925">
        <v>0</v>
      </c>
      <c r="O28" s="925">
        <v>0</v>
      </c>
      <c r="P28" s="925">
        <v>0</v>
      </c>
      <c r="Q28" s="925">
        <v>0</v>
      </c>
      <c r="R28" s="926">
        <v>1.6875882970524323</v>
      </c>
      <c r="S28" s="925">
        <v>0</v>
      </c>
      <c r="T28" s="925">
        <v>0</v>
      </c>
      <c r="U28" s="925">
        <v>0</v>
      </c>
      <c r="V28" s="926">
        <v>0</v>
      </c>
      <c r="W28" s="926">
        <v>1.6879174613236256</v>
      </c>
      <c r="X28" s="925">
        <v>0</v>
      </c>
      <c r="Y28" s="925">
        <v>0.539654937</v>
      </c>
      <c r="Z28" s="925">
        <v>0.73193253339905706</v>
      </c>
      <c r="AA28" s="927">
        <v>0</v>
      </c>
      <c r="AB28" s="927">
        <v>0</v>
      </c>
      <c r="AC28" s="926">
        <v>2.9595049317226825</v>
      </c>
    </row>
    <row r="29" spans="1:31">
      <c r="A29" s="3"/>
      <c r="B29" s="6" t="s">
        <v>166</v>
      </c>
      <c r="C29" s="925">
        <v>0</v>
      </c>
      <c r="D29" s="925">
        <v>7.8805964280621907E-2</v>
      </c>
      <c r="E29" s="925">
        <v>0</v>
      </c>
      <c r="F29" s="926">
        <v>7.8805964280621907E-2</v>
      </c>
      <c r="G29" s="925"/>
      <c r="H29" s="925"/>
      <c r="I29" s="925">
        <v>4.1205546807372541E-3</v>
      </c>
      <c r="J29" s="925">
        <v>6.6624180063283155E-4</v>
      </c>
      <c r="K29" s="925"/>
      <c r="L29" s="925">
        <v>0.67276766690110157</v>
      </c>
      <c r="M29" s="925">
        <v>0</v>
      </c>
      <c r="N29" s="925">
        <v>0.81332582208126469</v>
      </c>
      <c r="O29" s="925">
        <v>0</v>
      </c>
      <c r="P29" s="925">
        <v>0</v>
      </c>
      <c r="Q29" s="925">
        <v>0</v>
      </c>
      <c r="R29" s="926">
        <v>1.4908802854637364</v>
      </c>
      <c r="S29" s="925">
        <v>12.945658999999999</v>
      </c>
      <c r="T29" s="925">
        <v>0</v>
      </c>
      <c r="U29" s="925">
        <v>0</v>
      </c>
      <c r="V29" s="926">
        <v>12.945658999999999</v>
      </c>
      <c r="W29" s="926">
        <v>14.515345249744357</v>
      </c>
      <c r="X29" s="925">
        <v>0</v>
      </c>
      <c r="Y29" s="925">
        <v>0.47691130270857152</v>
      </c>
      <c r="Z29" s="925">
        <v>-4.585323919615516</v>
      </c>
      <c r="AA29" s="927">
        <v>0</v>
      </c>
      <c r="AB29" s="927">
        <v>0</v>
      </c>
      <c r="AC29" s="926">
        <v>10.406932632837414</v>
      </c>
    </row>
    <row r="30" spans="1:31">
      <c r="A30" s="3"/>
      <c r="B30" s="6" t="s">
        <v>167</v>
      </c>
      <c r="C30" s="925">
        <v>0</v>
      </c>
      <c r="D30" s="925">
        <v>0.11758823699187769</v>
      </c>
      <c r="E30" s="925">
        <v>0</v>
      </c>
      <c r="F30" s="926">
        <v>0.11758823699187769</v>
      </c>
      <c r="G30" s="925"/>
      <c r="H30" s="925"/>
      <c r="I30" s="925">
        <v>5.774088585202476E-3</v>
      </c>
      <c r="J30" s="925">
        <v>6.556807465123631E-3</v>
      </c>
      <c r="K30" s="925"/>
      <c r="L30" s="925">
        <v>0.98893798643717568</v>
      </c>
      <c r="M30" s="925">
        <v>0</v>
      </c>
      <c r="N30" s="925">
        <v>0.11908824489970107</v>
      </c>
      <c r="O30" s="925">
        <v>0</v>
      </c>
      <c r="P30" s="925">
        <v>0</v>
      </c>
      <c r="Q30" s="925">
        <v>0</v>
      </c>
      <c r="R30" s="926">
        <v>1.1203571273872028</v>
      </c>
      <c r="S30" s="925">
        <v>1.9667999999999998E-2</v>
      </c>
      <c r="T30" s="925">
        <v>0</v>
      </c>
      <c r="U30" s="925">
        <v>0</v>
      </c>
      <c r="V30" s="926">
        <v>1.9667999999999998E-2</v>
      </c>
      <c r="W30" s="926">
        <v>1.2576133643790806</v>
      </c>
      <c r="X30" s="925">
        <v>0</v>
      </c>
      <c r="Y30" s="925">
        <v>0</v>
      </c>
      <c r="Z30" s="925">
        <v>0.94488535090480763</v>
      </c>
      <c r="AA30" s="927">
        <v>0</v>
      </c>
      <c r="AB30" s="927">
        <v>0</v>
      </c>
      <c r="AC30" s="926">
        <v>2.2024987152838884</v>
      </c>
    </row>
    <row r="31" spans="1:31">
      <c r="A31" s="3"/>
      <c r="B31" s="6" t="s">
        <v>168</v>
      </c>
      <c r="C31" s="925">
        <v>0</v>
      </c>
      <c r="D31" s="925">
        <v>0</v>
      </c>
      <c r="E31" s="925">
        <v>0</v>
      </c>
      <c r="F31" s="926">
        <v>0</v>
      </c>
      <c r="G31" s="925"/>
      <c r="H31" s="925"/>
      <c r="I31" s="925">
        <v>0</v>
      </c>
      <c r="J31" s="925">
        <v>0</v>
      </c>
      <c r="K31" s="925"/>
      <c r="L31" s="925">
        <v>2.0006832911400001</v>
      </c>
      <c r="M31" s="925">
        <v>0</v>
      </c>
      <c r="N31" s="925">
        <v>0</v>
      </c>
      <c r="O31" s="925">
        <v>0</v>
      </c>
      <c r="P31" s="925">
        <v>0</v>
      </c>
      <c r="Q31" s="925">
        <v>0</v>
      </c>
      <c r="R31" s="926">
        <v>2.0006832911400001</v>
      </c>
      <c r="S31" s="925">
        <v>0</v>
      </c>
      <c r="T31" s="925">
        <v>0</v>
      </c>
      <c r="U31" s="925">
        <v>0</v>
      </c>
      <c r="V31" s="926">
        <v>0</v>
      </c>
      <c r="W31" s="926">
        <v>2.0006832911400001</v>
      </c>
      <c r="X31" s="925">
        <v>0</v>
      </c>
      <c r="Y31" s="925">
        <v>0</v>
      </c>
      <c r="Z31" s="925">
        <v>0</v>
      </c>
      <c r="AA31" s="927">
        <v>0</v>
      </c>
      <c r="AB31" s="927">
        <v>0</v>
      </c>
      <c r="AC31" s="926">
        <v>2.0006832911400001</v>
      </c>
    </row>
    <row r="32" spans="1:31">
      <c r="A32" s="3"/>
      <c r="B32" s="6" t="s">
        <v>169</v>
      </c>
      <c r="C32" s="925">
        <v>0</v>
      </c>
      <c r="D32" s="925">
        <v>0</v>
      </c>
      <c r="E32" s="925">
        <v>0</v>
      </c>
      <c r="F32" s="926">
        <v>0</v>
      </c>
      <c r="G32" s="925"/>
      <c r="H32" s="925"/>
      <c r="I32" s="925">
        <v>1.8005575139999998E-6</v>
      </c>
      <c r="J32" s="925">
        <v>8.8712052311077635E-2</v>
      </c>
      <c r="K32" s="925"/>
      <c r="L32" s="925">
        <v>6.9807636065909711E-3</v>
      </c>
      <c r="M32" s="925">
        <v>0</v>
      </c>
      <c r="N32" s="925">
        <v>0</v>
      </c>
      <c r="O32" s="925">
        <v>0</v>
      </c>
      <c r="P32" s="925">
        <v>0</v>
      </c>
      <c r="Q32" s="925">
        <v>0</v>
      </c>
      <c r="R32" s="926">
        <v>9.5694616475182612E-2</v>
      </c>
      <c r="S32" s="925">
        <v>0</v>
      </c>
      <c r="T32" s="925">
        <v>0</v>
      </c>
      <c r="U32" s="925">
        <v>0</v>
      </c>
      <c r="V32" s="926">
        <v>0</v>
      </c>
      <c r="W32" s="926">
        <v>9.5694616475182612E-2</v>
      </c>
      <c r="X32" s="925">
        <v>0</v>
      </c>
      <c r="Y32" s="925">
        <v>0</v>
      </c>
      <c r="Z32" s="925">
        <v>0</v>
      </c>
      <c r="AA32" s="927">
        <v>0</v>
      </c>
      <c r="AB32" s="927">
        <v>0</v>
      </c>
      <c r="AC32" s="926">
        <v>9.5694616475182612E-2</v>
      </c>
    </row>
    <row r="33" spans="1:29">
      <c r="A33" s="4"/>
      <c r="B33" s="127" t="s">
        <v>170</v>
      </c>
      <c r="C33" s="943">
        <v>0</v>
      </c>
      <c r="D33" s="943">
        <v>0</v>
      </c>
      <c r="E33" s="943">
        <v>0</v>
      </c>
      <c r="F33" s="942">
        <v>0</v>
      </c>
      <c r="G33" s="943"/>
      <c r="H33" s="943"/>
      <c r="I33" s="943">
        <v>0</v>
      </c>
      <c r="J33" s="943">
        <v>2.9726342749958399E-3</v>
      </c>
      <c r="K33" s="943"/>
      <c r="L33" s="943">
        <v>3.4144132042593003E-3</v>
      </c>
      <c r="M33" s="943">
        <v>0</v>
      </c>
      <c r="N33" s="943">
        <v>0</v>
      </c>
      <c r="O33" s="943">
        <v>0</v>
      </c>
      <c r="P33" s="943">
        <v>0</v>
      </c>
      <c r="Q33" s="943">
        <v>0</v>
      </c>
      <c r="R33" s="942">
        <v>6.3870474792551406E-3</v>
      </c>
      <c r="S33" s="943">
        <v>0</v>
      </c>
      <c r="T33" s="943">
        <v>0</v>
      </c>
      <c r="U33" s="943">
        <v>0</v>
      </c>
      <c r="V33" s="942">
        <v>0</v>
      </c>
      <c r="W33" s="942">
        <v>6.3870474792551406E-3</v>
      </c>
      <c r="X33" s="943">
        <v>0</v>
      </c>
      <c r="Y33" s="943">
        <v>0</v>
      </c>
      <c r="Z33" s="943">
        <v>4.9696416000000005E-5</v>
      </c>
      <c r="AA33" s="944">
        <v>0</v>
      </c>
      <c r="AB33" s="944">
        <v>0</v>
      </c>
      <c r="AC33" s="942">
        <v>6.4367438952551408E-3</v>
      </c>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52" t="s">
        <v>480</v>
      </c>
      <c r="B2" s="1153"/>
      <c r="C2" s="111"/>
    </row>
    <row r="3" spans="1:3" s="15" customFormat="1" ht="15.75">
      <c r="A3" s="98"/>
      <c r="B3" s="70"/>
      <c r="C3" s="99"/>
    </row>
    <row r="4" spans="1:3">
      <c r="A4" s="95" t="s">
        <v>365</v>
      </c>
      <c r="B4" s="69" t="s">
        <v>377</v>
      </c>
      <c r="C4" s="100" t="s">
        <v>376</v>
      </c>
    </row>
    <row r="5" spans="1:3">
      <c r="A5" s="112"/>
      <c r="B5" s="43"/>
      <c r="C5" s="96"/>
    </row>
    <row r="6" spans="1:3" s="11" customFormat="1" ht="30">
      <c r="A6" s="113" t="s">
        <v>195</v>
      </c>
      <c r="B6" s="130" t="s">
        <v>482</v>
      </c>
      <c r="C6" s="162" t="s">
        <v>498</v>
      </c>
    </row>
    <row r="7" spans="1:3" s="11" customFormat="1">
      <c r="A7" s="132"/>
      <c r="B7" s="133"/>
      <c r="C7" s="134"/>
    </row>
    <row r="8" spans="1:3" s="11" customFormat="1" ht="60">
      <c r="A8" s="113" t="s">
        <v>155</v>
      </c>
      <c r="B8" s="130" t="s">
        <v>482</v>
      </c>
      <c r="C8" s="314" t="s">
        <v>499</v>
      </c>
    </row>
    <row r="9" spans="1:3" s="11" customFormat="1">
      <c r="A9" s="132"/>
      <c r="B9" s="133"/>
      <c r="C9" s="134"/>
    </row>
    <row r="10" spans="1:3" s="11" customFormat="1" ht="60">
      <c r="A10" s="113" t="s">
        <v>156</v>
      </c>
      <c r="B10" s="130" t="s">
        <v>482</v>
      </c>
      <c r="C10" s="314" t="s">
        <v>499</v>
      </c>
    </row>
    <row r="11" spans="1:3" s="11" customFormat="1">
      <c r="A11" s="132"/>
      <c r="B11" s="133"/>
      <c r="C11" s="134"/>
    </row>
    <row r="12" spans="1:3" s="11" customFormat="1" ht="60">
      <c r="A12" s="113" t="s">
        <v>392</v>
      </c>
      <c r="B12" s="130" t="s">
        <v>482</v>
      </c>
      <c r="C12" s="314" t="s">
        <v>499</v>
      </c>
    </row>
    <row r="13" spans="1:3" s="11" customFormat="1">
      <c r="A13" s="132"/>
      <c r="B13" s="133"/>
      <c r="C13" s="134"/>
    </row>
    <row r="14" spans="1:3" s="11" customFormat="1" ht="60">
      <c r="A14" s="113" t="s">
        <v>112</v>
      </c>
      <c r="B14" s="130" t="s">
        <v>500</v>
      </c>
      <c r="C14" s="314" t="s">
        <v>499</v>
      </c>
    </row>
    <row r="15" spans="1:3" s="11" customFormat="1" ht="63">
      <c r="A15" s="123"/>
      <c r="B15" s="130" t="s">
        <v>501</v>
      </c>
      <c r="C15" s="314" t="s">
        <v>505</v>
      </c>
    </row>
    <row r="16" spans="1:3" s="11" customFormat="1">
      <c r="A16" s="132"/>
      <c r="B16" s="133"/>
      <c r="C16" s="134"/>
    </row>
    <row r="17" spans="1:3" s="11" customFormat="1" ht="45">
      <c r="A17" s="113" t="s">
        <v>481</v>
      </c>
      <c r="B17" s="130" t="s">
        <v>555</v>
      </c>
      <c r="C17" s="162" t="s">
        <v>556</v>
      </c>
    </row>
    <row r="18" spans="1:3" s="11" customFormat="1">
      <c r="A18" s="132"/>
      <c r="B18" s="133"/>
      <c r="C18" s="134"/>
    </row>
    <row r="19" spans="1:3" s="11" customFormat="1" ht="60">
      <c r="A19" s="113" t="s">
        <v>395</v>
      </c>
      <c r="B19" s="313" t="s">
        <v>553</v>
      </c>
      <c r="C19" s="162" t="s">
        <v>554</v>
      </c>
    </row>
    <row r="20" spans="1:3" s="11" customFormat="1">
      <c r="A20" s="113"/>
      <c r="B20" s="130"/>
      <c r="C20" s="131"/>
    </row>
    <row r="21" spans="1:3" ht="21">
      <c r="A21" s="126" t="s">
        <v>484</v>
      </c>
      <c r="B21" s="125"/>
      <c r="C21" s="122"/>
    </row>
    <row r="27" spans="1:3">
      <c r="B27" t="s">
        <v>237</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54" t="s">
        <v>195</v>
      </c>
      <c r="B1" s="1155" t="s">
        <v>196</v>
      </c>
      <c r="C1" s="1156"/>
      <c r="D1" s="1156"/>
      <c r="E1" s="1156"/>
      <c r="F1" s="1156"/>
      <c r="G1" s="1156"/>
      <c r="H1" s="1156"/>
      <c r="I1" s="1156"/>
      <c r="J1" s="1156"/>
      <c r="K1" s="1156"/>
      <c r="L1" s="1156"/>
      <c r="M1" s="1156"/>
      <c r="N1" s="1156"/>
      <c r="O1" s="1156"/>
      <c r="P1" s="1156"/>
    </row>
    <row r="2" spans="1:16" s="333" customFormat="1" ht="15.75" thickTop="1">
      <c r="A2" s="1154"/>
      <c r="B2" s="1157" t="s">
        <v>21</v>
      </c>
      <c r="C2" s="1157" t="s">
        <v>197</v>
      </c>
      <c r="D2" s="1159" t="s">
        <v>198</v>
      </c>
      <c r="E2" s="1160"/>
      <c r="F2" s="1160"/>
      <c r="G2" s="1160"/>
      <c r="H2" s="1160"/>
      <c r="I2" s="1160"/>
      <c r="J2" s="1160"/>
      <c r="K2" s="1161"/>
      <c r="L2" s="1159" t="s">
        <v>199</v>
      </c>
      <c r="M2" s="1160"/>
      <c r="N2" s="1160"/>
      <c r="O2" s="1160"/>
      <c r="P2" s="1161"/>
    </row>
    <row r="3" spans="1:16" s="333" customFormat="1" ht="45">
      <c r="A3" s="1154"/>
      <c r="B3" s="1158"/>
      <c r="C3" s="1158"/>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795.35</v>
      </c>
      <c r="C5" s="18" t="s">
        <v>212</v>
      </c>
      <c r="D5" s="18" t="s">
        <v>212</v>
      </c>
      <c r="E5" s="18" t="s">
        <v>212</v>
      </c>
      <c r="F5" s="18" t="s">
        <v>212</v>
      </c>
      <c r="G5" s="18" t="s">
        <v>212</v>
      </c>
      <c r="H5" s="18" t="s">
        <v>212</v>
      </c>
      <c r="I5" s="18" t="s">
        <v>212</v>
      </c>
      <c r="J5" s="18" t="s">
        <v>212</v>
      </c>
      <c r="K5" s="18" t="s">
        <v>212</v>
      </c>
      <c r="L5" s="18" t="s">
        <v>212</v>
      </c>
      <c r="M5" s="18" t="s">
        <v>212</v>
      </c>
      <c r="N5" s="18" t="s">
        <v>212</v>
      </c>
      <c r="O5" s="18" t="s">
        <v>212</v>
      </c>
      <c r="P5" s="18" t="s">
        <v>212</v>
      </c>
    </row>
    <row r="6" spans="1:16">
      <c r="A6" s="16" t="s">
        <v>551</v>
      </c>
      <c r="B6" s="30">
        <f>(-1)*IF(ISERROR('Eigen openbare verlichting'!B15),0,'Eigen openbare verlichting'!B15)</f>
        <v>0</v>
      </c>
      <c r="C6" s="18" t="s">
        <v>212</v>
      </c>
      <c r="D6" s="18" t="s">
        <v>212</v>
      </c>
      <c r="E6" s="18" t="s">
        <v>212</v>
      </c>
      <c r="F6" s="18" t="s">
        <v>212</v>
      </c>
      <c r="G6" s="18" t="s">
        <v>212</v>
      </c>
      <c r="H6" s="18" t="s">
        <v>212</v>
      </c>
      <c r="I6" s="18" t="s">
        <v>212</v>
      </c>
      <c r="J6" s="18" t="s">
        <v>212</v>
      </c>
      <c r="K6" s="18" t="s">
        <v>212</v>
      </c>
      <c r="L6" s="18" t="s">
        <v>212</v>
      </c>
      <c r="M6" s="18" t="s">
        <v>212</v>
      </c>
      <c r="N6" s="18" t="s">
        <v>212</v>
      </c>
      <c r="O6" s="18" t="s">
        <v>212</v>
      </c>
      <c r="P6" s="18" t="s">
        <v>212</v>
      </c>
    </row>
    <row r="7" spans="1:16">
      <c r="B7" s="19"/>
      <c r="C7" s="19"/>
      <c r="D7" s="19"/>
      <c r="E7" s="19"/>
      <c r="F7" s="19"/>
      <c r="G7" s="19"/>
      <c r="H7" s="19"/>
      <c r="I7" s="19"/>
      <c r="J7" s="19"/>
      <c r="K7" s="19"/>
      <c r="L7" s="19"/>
      <c r="M7" s="19"/>
      <c r="N7" s="19"/>
      <c r="O7" s="19"/>
      <c r="P7" s="19"/>
    </row>
    <row r="8" spans="1:16" s="8" customFormat="1">
      <c r="A8" s="20" t="s">
        <v>485</v>
      </c>
      <c r="B8" s="981">
        <f>MAX((B6+B5),0)</f>
        <v>795.35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215</v>
      </c>
      <c r="B10" s="25">
        <f ca="1">'EF ele_warmte'!B12</f>
        <v>0.20522445332795367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214</v>
      </c>
      <c r="B12" s="23">
        <f ca="1">B10*B8</f>
        <v>163.22526895438796</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54" t="s">
        <v>155</v>
      </c>
      <c r="B1" s="1155" t="s">
        <v>196</v>
      </c>
      <c r="C1" s="1156"/>
      <c r="D1" s="1156"/>
      <c r="E1" s="1156"/>
      <c r="F1" s="1156"/>
      <c r="G1" s="1156"/>
      <c r="H1" s="1156"/>
      <c r="I1" s="1156"/>
      <c r="J1" s="1156"/>
      <c r="K1" s="1156"/>
      <c r="L1" s="1156"/>
      <c r="M1" s="1156"/>
      <c r="N1" s="1156"/>
      <c r="O1" s="1156"/>
      <c r="P1" s="1156"/>
    </row>
    <row r="2" spans="1:16" s="333" customFormat="1" ht="15.75" thickTop="1">
      <c r="A2" s="1154"/>
      <c r="B2" s="1157" t="s">
        <v>21</v>
      </c>
      <c r="C2" s="1157" t="s">
        <v>197</v>
      </c>
      <c r="D2" s="1159" t="s">
        <v>198</v>
      </c>
      <c r="E2" s="1160"/>
      <c r="F2" s="1160"/>
      <c r="G2" s="1160"/>
      <c r="H2" s="1160"/>
      <c r="I2" s="1160"/>
      <c r="J2" s="1160"/>
      <c r="K2" s="1161"/>
      <c r="L2" s="1159" t="s">
        <v>199</v>
      </c>
      <c r="M2" s="1160"/>
      <c r="N2" s="1160"/>
      <c r="O2" s="1160"/>
      <c r="P2" s="1161"/>
    </row>
    <row r="3" spans="1:16" s="333" customFormat="1" ht="45">
      <c r="A3" s="1154"/>
      <c r="B3" s="1158"/>
      <c r="C3" s="1158"/>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21570.357</v>
      </c>
      <c r="C5" s="17">
        <f>IF(ISERROR('Eigen informatie GS &amp; warmtenet'!B57),0,'Eigen informatie GS &amp; warmtenet'!B57)</f>
        <v>0</v>
      </c>
      <c r="D5" s="30">
        <f>(SUM(HH_hh_gas_kWh,HH_rest_gas_kWh)/1000)*0.902</f>
        <v>31387.233151999997</v>
      </c>
      <c r="E5" s="17">
        <f>B46*B57</f>
        <v>4042.4855449470265</v>
      </c>
      <c r="F5" s="17">
        <f>B51*B62</f>
        <v>39666.543355162124</v>
      </c>
      <c r="G5" s="18"/>
      <c r="H5" s="17"/>
      <c r="I5" s="17"/>
      <c r="J5" s="17">
        <f>B50*B61+C50*C61</f>
        <v>0</v>
      </c>
      <c r="K5" s="17"/>
      <c r="L5" s="17"/>
      <c r="M5" s="17"/>
      <c r="N5" s="17">
        <f>B48*B59+C48*C59</f>
        <v>11037.35040836452</v>
      </c>
      <c r="O5" s="17">
        <f>B69*B70*B71</f>
        <v>82.856666666666683</v>
      </c>
      <c r="P5" s="17">
        <f>B77*B78*B79/1000-B77*B78*B79/1000/B80</f>
        <v>171.6</v>
      </c>
    </row>
    <row r="6" spans="1:16">
      <c r="A6" s="16" t="s">
        <v>633</v>
      </c>
      <c r="B6" s="830">
        <f>kWh_PV_kleiner_dan_10kW</f>
        <v>1857.476369968741</v>
      </c>
      <c r="C6" s="831"/>
      <c r="D6" s="831"/>
      <c r="E6" s="832"/>
      <c r="F6" s="832"/>
      <c r="G6" s="832"/>
      <c r="H6" s="832"/>
      <c r="I6" s="832"/>
      <c r="J6" s="832"/>
      <c r="K6" s="832"/>
      <c r="L6" s="832"/>
      <c r="M6" s="832"/>
      <c r="N6" s="832"/>
      <c r="O6" s="832"/>
      <c r="P6" s="832"/>
    </row>
    <row r="7" spans="1:16">
      <c r="B7" s="19"/>
      <c r="C7" s="19"/>
      <c r="D7" s="19"/>
      <c r="E7" s="19"/>
      <c r="F7" s="19"/>
      <c r="G7" s="19"/>
      <c r="H7" s="19"/>
      <c r="I7" s="19"/>
      <c r="J7" s="19"/>
      <c r="K7" s="19"/>
      <c r="L7" s="19"/>
      <c r="M7" s="19"/>
      <c r="N7" s="19"/>
      <c r="O7" s="19"/>
      <c r="P7" s="19"/>
    </row>
    <row r="8" spans="1:16" s="8" customFormat="1">
      <c r="A8" s="20" t="s">
        <v>213</v>
      </c>
      <c r="B8" s="21">
        <f>B5+B6</f>
        <v>23427.833369968743</v>
      </c>
      <c r="C8" s="21">
        <f>C5</f>
        <v>0</v>
      </c>
      <c r="D8" s="21">
        <f>D5</f>
        <v>31387.233151999997</v>
      </c>
      <c r="E8" s="21">
        <f>E5</f>
        <v>4042.4855449470265</v>
      </c>
      <c r="F8" s="21">
        <f>F5</f>
        <v>39666.543355162124</v>
      </c>
      <c r="G8" s="21"/>
      <c r="H8" s="21"/>
      <c r="I8" s="21"/>
      <c r="J8" s="21">
        <f>J5</f>
        <v>0</v>
      </c>
      <c r="K8" s="21"/>
      <c r="L8" s="21">
        <f>L5</f>
        <v>0</v>
      </c>
      <c r="M8" s="21">
        <f>M5</f>
        <v>0</v>
      </c>
      <c r="N8" s="21">
        <f>N5</f>
        <v>11037.35040836452</v>
      </c>
      <c r="O8" s="21">
        <f>O5</f>
        <v>82.856666666666683</v>
      </c>
      <c r="P8" s="21">
        <f>P5</f>
        <v>171.6</v>
      </c>
    </row>
    <row r="9" spans="1:16">
      <c r="B9" s="19"/>
      <c r="C9" s="19"/>
      <c r="D9" s="260"/>
      <c r="E9" s="19"/>
      <c r="F9" s="19"/>
      <c r="G9" s="19"/>
      <c r="H9" s="19"/>
      <c r="I9" s="19"/>
      <c r="J9" s="19"/>
      <c r="K9" s="19"/>
      <c r="L9" s="19"/>
      <c r="M9" s="19"/>
      <c r="N9" s="19"/>
      <c r="O9" s="19"/>
      <c r="P9" s="19"/>
    </row>
    <row r="10" spans="1:16">
      <c r="A10" s="24" t="s">
        <v>215</v>
      </c>
      <c r="B10" s="25">
        <f ca="1">'EF ele_warmte'!B12</f>
        <v>0.20522445332795367</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214</v>
      </c>
      <c r="B12" s="23">
        <f ca="1">B10*B8</f>
        <v>4807.9642960102256</v>
      </c>
      <c r="C12" s="23">
        <f ca="1">C10*C8</f>
        <v>0</v>
      </c>
      <c r="D12" s="23">
        <f>D8*D10</f>
        <v>6340.221096704</v>
      </c>
      <c r="E12" s="23">
        <f>E10*E8</f>
        <v>917.64421870297508</v>
      </c>
      <c r="F12" s="23">
        <f>F10*F8</f>
        <v>10590.967075828288</v>
      </c>
      <c r="G12" s="23"/>
      <c r="H12" s="23"/>
      <c r="I12" s="23"/>
      <c r="J12" s="23">
        <f>J10*J8</f>
        <v>0</v>
      </c>
      <c r="K12" s="23"/>
      <c r="L12" s="23">
        <f>L10*L8</f>
        <v>0</v>
      </c>
      <c r="M12" s="23">
        <f>M10*M8</f>
        <v>0</v>
      </c>
      <c r="N12" s="23">
        <f>N10*N8</f>
        <v>0</v>
      </c>
      <c r="O12" s="23">
        <f>O10*O8</f>
        <v>0</v>
      </c>
      <c r="P12" s="23">
        <f>P10*P8</f>
        <v>0</v>
      </c>
    </row>
    <row r="15" spans="1:16">
      <c r="A15" s="194" t="s">
        <v>496</v>
      </c>
      <c r="B15" s="204"/>
      <c r="C15" s="204"/>
      <c r="D15" s="226"/>
    </row>
    <row r="16" spans="1:16">
      <c r="A16" s="3"/>
      <c r="B16" s="43"/>
      <c r="C16" s="43"/>
      <c r="D16" s="175"/>
    </row>
    <row r="17" spans="1:7">
      <c r="A17" s="227" t="s">
        <v>216</v>
      </c>
      <c r="B17" s="203" t="s">
        <v>217</v>
      </c>
      <c r="C17" s="203" t="s">
        <v>221</v>
      </c>
      <c r="D17" s="228" t="s">
        <v>183</v>
      </c>
      <c r="E17" s="15"/>
    </row>
    <row r="18" spans="1:7">
      <c r="A18" s="172" t="s">
        <v>71</v>
      </c>
      <c r="B18" s="37">
        <f>Aantalw2001_aardgas</f>
        <v>496</v>
      </c>
      <c r="C18" s="167" t="s">
        <v>111</v>
      </c>
      <c r="D18" s="229"/>
      <c r="E18" s="15"/>
    </row>
    <row r="19" spans="1:7">
      <c r="A19" s="172" t="s">
        <v>72</v>
      </c>
      <c r="B19" s="37">
        <f>aantalw2001_ander</f>
        <v>3</v>
      </c>
      <c r="C19" s="167" t="s">
        <v>111</v>
      </c>
      <c r="D19" s="230"/>
      <c r="E19" s="15"/>
    </row>
    <row r="20" spans="1:7">
      <c r="A20" s="172" t="s">
        <v>73</v>
      </c>
      <c r="B20" s="37">
        <f>aantalw2001_propaan</f>
        <v>71</v>
      </c>
      <c r="C20" s="168">
        <f>IF(ISERROR(B20/SUM($B$20,$B$21,$B$22)*100),0,B20/SUM($B$20,$B$21,$B$22)*100)</f>
        <v>19.943820224719101</v>
      </c>
      <c r="D20" s="230"/>
      <c r="E20" s="15"/>
    </row>
    <row r="21" spans="1:7">
      <c r="A21" s="172" t="s">
        <v>74</v>
      </c>
      <c r="B21" s="37">
        <f>aantalw2001_elektriciteit</f>
        <v>218</v>
      </c>
      <c r="C21" s="168">
        <f>IF(ISERROR(B21/SUM($B$20,$B$21,$B$22)*100),0,B21/SUM($B$20,$B$21,$B$22)*100)</f>
        <v>61.235955056179783</v>
      </c>
      <c r="D21" s="230"/>
      <c r="E21" s="15"/>
    </row>
    <row r="22" spans="1:7">
      <c r="A22" s="172" t="s">
        <v>75</v>
      </c>
      <c r="B22" s="37">
        <f>aantalw2001_hout</f>
        <v>67</v>
      </c>
      <c r="C22" s="168">
        <f>IF(ISERROR(B22/SUM($B$20,$B$21,$B$22)*100),0,B22/SUM($B$20,$B$21,$B$22)*100)</f>
        <v>18.820224719101123</v>
      </c>
      <c r="D22" s="230"/>
      <c r="E22" s="15"/>
    </row>
    <row r="23" spans="1:7">
      <c r="A23" s="172" t="s">
        <v>76</v>
      </c>
      <c r="B23" s="37">
        <f>aantalw2001_niet_gespec</f>
        <v>49</v>
      </c>
      <c r="C23" s="167" t="s">
        <v>111</v>
      </c>
      <c r="D23" s="229"/>
      <c r="E23" s="15"/>
    </row>
    <row r="24" spans="1:7">
      <c r="A24" s="172" t="s">
        <v>77</v>
      </c>
      <c r="B24" s="37">
        <f>aantalw2001_steenkool</f>
        <v>75</v>
      </c>
      <c r="C24" s="167" t="s">
        <v>111</v>
      </c>
      <c r="D24" s="230"/>
      <c r="E24" s="15"/>
    </row>
    <row r="25" spans="1:7">
      <c r="A25" s="172" t="s">
        <v>78</v>
      </c>
      <c r="B25" s="37">
        <f>aantalw2001_stookolie</f>
        <v>3050</v>
      </c>
      <c r="C25" s="167" t="s">
        <v>111</v>
      </c>
      <c r="D25" s="229"/>
      <c r="E25" s="52"/>
    </row>
    <row r="26" spans="1:7">
      <c r="A26" s="172" t="s">
        <v>79</v>
      </c>
      <c r="B26" s="37">
        <f>aantalw2001_WP</f>
        <v>1</v>
      </c>
      <c r="C26" s="167" t="s">
        <v>111</v>
      </c>
      <c r="D26" s="229"/>
      <c r="E26" s="15"/>
    </row>
    <row r="27" spans="1:7" s="15" customFormat="1">
      <c r="A27" s="172"/>
      <c r="B27" s="29"/>
      <c r="C27" s="36"/>
      <c r="D27" s="229"/>
    </row>
    <row r="28" spans="1:7" s="15" customFormat="1">
      <c r="A28" s="231" t="s">
        <v>713</v>
      </c>
      <c r="B28" s="37">
        <f>aantalHuishoudens2011</f>
        <v>4686</v>
      </c>
      <c r="C28" s="36"/>
      <c r="D28" s="229"/>
    </row>
    <row r="29" spans="1:7" s="15" customFormat="1">
      <c r="A29" s="231" t="s">
        <v>714</v>
      </c>
      <c r="B29" s="37">
        <f>SUM(HH_hh_gas_aantal,HH_rest_gas_aantal)</f>
        <v>1952</v>
      </c>
      <c r="C29" s="36"/>
      <c r="D29" s="229"/>
    </row>
    <row r="30" spans="1:7" s="15" customFormat="1">
      <c r="A30" s="232"/>
      <c r="B30" s="29"/>
      <c r="C30" s="36"/>
      <c r="D30" s="233"/>
    </row>
    <row r="31" spans="1:7">
      <c r="A31" s="173" t="s">
        <v>719</v>
      </c>
      <c r="B31" s="169" t="s">
        <v>217</v>
      </c>
      <c r="C31" s="166" t="s">
        <v>218</v>
      </c>
      <c r="D31" s="175"/>
      <c r="G31" s="15"/>
    </row>
    <row r="32" spans="1:7">
      <c r="A32" s="172" t="s">
        <v>71</v>
      </c>
      <c r="B32" s="37">
        <f>B29</f>
        <v>1952</v>
      </c>
      <c r="C32" s="168">
        <f>IF(ISERROR(B32/SUM($B$32,$B$34,$B$35,$B$36,$B$38,$B$39)*100),0,B32/SUM($B$32,$B$34,$B$35,$B$36,$B$38,$B$39)*100)</f>
        <v>41.736155655334613</v>
      </c>
      <c r="D32" s="234"/>
      <c r="G32" s="15"/>
    </row>
    <row r="33" spans="1:7">
      <c r="A33" s="172" t="s">
        <v>72</v>
      </c>
      <c r="B33" s="34" t="s">
        <v>111</v>
      </c>
      <c r="C33" s="168"/>
      <c r="D33" s="234"/>
      <c r="G33" s="15"/>
    </row>
    <row r="34" spans="1:7">
      <c r="A34" s="172" t="s">
        <v>73</v>
      </c>
      <c r="B34" s="33">
        <f>IF((($B$28-$B$32-$B$39-$B$77-$B$38)*C20/100)&lt;0,0,($B$28-$B$32-$B$39-$B$77-$B$38)*C20/100)</f>
        <v>196.52640449438204</v>
      </c>
      <c r="C34" s="168">
        <f>IF(ISERROR(B34/SUM($B$32,$B$34,$B$35,$B$36,$B$38,$B$39)*100),0,B34/SUM($B$32,$B$34,$B$35,$B$36,$B$38,$B$39)*100)</f>
        <v>4.2019757214963018</v>
      </c>
      <c r="D34" s="234"/>
      <c r="G34" s="15"/>
    </row>
    <row r="35" spans="1:7">
      <c r="A35" s="172" t="s">
        <v>74</v>
      </c>
      <c r="B35" s="33">
        <f>IF((($B$28-$B$32-$B$39-$B$77-$B$38)*C21/100)&lt;0,0,($B$28-$B$32-$B$39-$B$77-$B$38)*C21/100)</f>
        <v>603.41910112359562</v>
      </c>
      <c r="C35" s="168">
        <f>IF(ISERROR(B35/SUM($B$32,$B$34,$B$35,$B$36,$B$38,$B$39)*100),0,B35/SUM($B$32,$B$34,$B$35,$B$36,$B$38,$B$39)*100)</f>
        <v>12.901840947692872</v>
      </c>
      <c r="D35" s="234"/>
      <c r="G35" s="15"/>
    </row>
    <row r="36" spans="1:7">
      <c r="A36" s="172" t="s">
        <v>75</v>
      </c>
      <c r="B36" s="33">
        <f>IF((($B$28-$B$32-$B$39-$B$77-$B$38)*C22/100)&lt;0,0,($B$28-$B$32-$B$39-$B$77-$B$38)*C22/100)</f>
        <v>185.45449438202249</v>
      </c>
      <c r="C36" s="168">
        <f>IF(ISERROR(B36/SUM($B$32,$B$34,$B$35,$B$36,$B$38,$B$39)*100),0,B36/SUM($B$32,$B$34,$B$35,$B$36,$B$38,$B$39)*100)</f>
        <v>3.9652446949331304</v>
      </c>
      <c r="D36" s="234"/>
      <c r="G36" s="15"/>
    </row>
    <row r="37" spans="1:7">
      <c r="A37" s="172" t="s">
        <v>76</v>
      </c>
      <c r="B37" s="34" t="s">
        <v>111</v>
      </c>
      <c r="C37" s="168"/>
      <c r="D37" s="174"/>
      <c r="G37" s="15"/>
    </row>
    <row r="38" spans="1:7">
      <c r="A38" s="172" t="s">
        <v>77</v>
      </c>
      <c r="B38" s="33">
        <f>IF((B24-(B29-B18)*0.1)&lt;0,0,B24-(B29-B18)*0.1)</f>
        <v>0</v>
      </c>
      <c r="C38" s="168">
        <f>IF(ISERROR(B38/SUM($B$32,$B$34,$B$35,$B$36,$B$38,$B$39)*100),0,B38/SUM($B$32,$B$34,$B$35,$B$36,$B$38,$B$39)*100)</f>
        <v>0</v>
      </c>
      <c r="D38" s="235"/>
      <c r="G38" s="15"/>
    </row>
    <row r="39" spans="1:7">
      <c r="A39" s="172" t="s">
        <v>78</v>
      </c>
      <c r="B39" s="33">
        <f>IF((B25-(B29-B18))&lt;0,0,B25-(B29-B18)*0.9)</f>
        <v>1739.6</v>
      </c>
      <c r="C39" s="168">
        <f>IF(ISERROR(B39/SUM($B$32,$B$34,$B$35,$B$36,$B$38,$B$39)*100),0,B39/SUM($B$32,$B$34,$B$35,$B$36,$B$38,$B$39)*100)</f>
        <v>37.194782980543081</v>
      </c>
      <c r="D39" s="235"/>
      <c r="G39" s="15"/>
    </row>
    <row r="40" spans="1:7">
      <c r="A40" s="172" t="s">
        <v>79</v>
      </c>
      <c r="B40" s="33" t="s">
        <v>220</v>
      </c>
      <c r="C40" s="168"/>
      <c r="D40" s="234"/>
      <c r="G40" s="15"/>
    </row>
    <row r="41" spans="1:7">
      <c r="A41" s="3"/>
      <c r="B41" s="43"/>
      <c r="C41" s="43"/>
      <c r="D41" s="175"/>
    </row>
    <row r="42" spans="1:7">
      <c r="A42" s="3"/>
      <c r="B42" s="43"/>
      <c r="C42" s="43"/>
      <c r="D42" s="175"/>
    </row>
    <row r="43" spans="1:7">
      <c r="A43" s="173" t="s">
        <v>488</v>
      </c>
      <c r="B43" s="170" t="s">
        <v>715</v>
      </c>
      <c r="C43" s="170" t="s">
        <v>716</v>
      </c>
      <c r="D43" s="175"/>
    </row>
    <row r="44" spans="1:7">
      <c r="A44" s="172" t="s">
        <v>71</v>
      </c>
      <c r="B44" s="33">
        <f t="shared" ref="B44:B52" si="0">B32</f>
        <v>1952</v>
      </c>
      <c r="C44" s="34" t="s">
        <v>111</v>
      </c>
      <c r="D44" s="175"/>
    </row>
    <row r="45" spans="1:7">
      <c r="A45" s="172" t="s">
        <v>72</v>
      </c>
      <c r="B45" s="33" t="str">
        <f t="shared" si="0"/>
        <v>-</v>
      </c>
      <c r="C45" s="34" t="s">
        <v>111</v>
      </c>
      <c r="D45" s="175"/>
    </row>
    <row r="46" spans="1:7">
      <c r="A46" s="172" t="s">
        <v>73</v>
      </c>
      <c r="B46" s="33">
        <f t="shared" si="0"/>
        <v>196.52640449438204</v>
      </c>
      <c r="C46" s="34" t="s">
        <v>111</v>
      </c>
      <c r="D46" s="175"/>
    </row>
    <row r="47" spans="1:7">
      <c r="A47" s="172" t="s">
        <v>74</v>
      </c>
      <c r="B47" s="33">
        <f t="shared" si="0"/>
        <v>603.41910112359562</v>
      </c>
      <c r="C47" s="34" t="s">
        <v>111</v>
      </c>
      <c r="D47" s="175"/>
    </row>
    <row r="48" spans="1:7">
      <c r="A48" s="172" t="s">
        <v>75</v>
      </c>
      <c r="B48" s="33">
        <f t="shared" si="0"/>
        <v>185.45449438202249</v>
      </c>
      <c r="C48" s="33">
        <f>B48*10</f>
        <v>1854.5449438202249</v>
      </c>
      <c r="D48" s="235"/>
    </row>
    <row r="49" spans="1:6">
      <c r="A49" s="172" t="s">
        <v>76</v>
      </c>
      <c r="B49" s="33" t="str">
        <f t="shared" si="0"/>
        <v>-</v>
      </c>
      <c r="C49" s="34" t="s">
        <v>111</v>
      </c>
      <c r="D49" s="235"/>
    </row>
    <row r="50" spans="1:6">
      <c r="A50" s="172" t="s">
        <v>77</v>
      </c>
      <c r="B50" s="33">
        <f t="shared" si="0"/>
        <v>0</v>
      </c>
      <c r="C50" s="33">
        <f>B50*2</f>
        <v>0</v>
      </c>
      <c r="D50" s="235"/>
    </row>
    <row r="51" spans="1:6">
      <c r="A51" s="172" t="s">
        <v>78</v>
      </c>
      <c r="B51" s="33">
        <f t="shared" si="0"/>
        <v>1739.6</v>
      </c>
      <c r="C51" s="34" t="s">
        <v>111</v>
      </c>
      <c r="D51" s="175"/>
    </row>
    <row r="52" spans="1:6">
      <c r="A52" s="172" t="s">
        <v>79</v>
      </c>
      <c r="B52" s="33" t="str">
        <f t="shared" si="0"/>
        <v>zie verder</v>
      </c>
      <c r="C52" s="34" t="s">
        <v>111</v>
      </c>
      <c r="D52" s="175"/>
    </row>
    <row r="53" spans="1:6">
      <c r="A53" s="3"/>
      <c r="B53" s="43"/>
      <c r="C53" s="43"/>
      <c r="D53" s="175"/>
    </row>
    <row r="54" spans="1:6">
      <c r="A54" s="173" t="s">
        <v>491</v>
      </c>
      <c r="B54" s="166" t="s">
        <v>717</v>
      </c>
      <c r="C54" s="166" t="s">
        <v>718</v>
      </c>
      <c r="D54" s="302" t="s">
        <v>527</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220</v>
      </c>
      <c r="C63" s="171" t="s">
        <v>111</v>
      </c>
      <c r="D63" s="175"/>
      <c r="E63" s="164"/>
      <c r="F63" s="164"/>
    </row>
    <row r="64" spans="1:6">
      <c r="A64" s="176"/>
      <c r="B64" s="236"/>
      <c r="C64" s="236"/>
      <c r="D64" s="177"/>
      <c r="E64" s="164"/>
      <c r="F64" s="164"/>
    </row>
    <row r="65" spans="1:6">
      <c r="E65" s="15"/>
      <c r="F65" s="15"/>
    </row>
    <row r="66" spans="1:6">
      <c r="A66" s="195" t="s">
        <v>489</v>
      </c>
      <c r="B66" s="204"/>
      <c r="C66" s="204"/>
      <c r="D66" s="205"/>
    </row>
    <row r="67" spans="1:6" s="15" customFormat="1">
      <c r="A67" s="173"/>
      <c r="B67" s="32"/>
      <c r="C67" s="32"/>
      <c r="D67" s="206"/>
    </row>
    <row r="68" spans="1:6" s="15" customFormat="1">
      <c r="A68" s="207"/>
      <c r="B68" s="208"/>
      <c r="C68" s="209" t="s">
        <v>380</v>
      </c>
      <c r="D68" s="223" t="s">
        <v>183</v>
      </c>
    </row>
    <row r="69" spans="1:6">
      <c r="A69" s="172" t="s">
        <v>267</v>
      </c>
      <c r="B69" s="320">
        <f>aantalZB_NB_wonen+aantalZB_NB_wonen_met_kantoor+ZB_HH_bestaande_bouw</f>
        <v>53</v>
      </c>
      <c r="C69" s="43"/>
      <c r="D69" s="174"/>
    </row>
    <row r="70" spans="1:6">
      <c r="A70" s="172" t="s">
        <v>486</v>
      </c>
      <c r="B70" s="316">
        <v>4.2</v>
      </c>
      <c r="C70" s="43"/>
      <c r="D70" s="310" t="s">
        <v>520</v>
      </c>
    </row>
    <row r="71" spans="1:6">
      <c r="A71" s="246" t="s">
        <v>487</v>
      </c>
      <c r="B71" s="321">
        <f>1.34/3.6</f>
        <v>0.37222222222222223</v>
      </c>
      <c r="C71" s="43" t="s">
        <v>219</v>
      </c>
      <c r="D71" s="310" t="s">
        <v>520</v>
      </c>
    </row>
    <row r="72" spans="1:6">
      <c r="A72" s="176"/>
      <c r="B72" s="247"/>
      <c r="C72" s="179"/>
      <c r="D72" s="180"/>
    </row>
    <row r="73" spans="1:6">
      <c r="D73" s="165"/>
    </row>
    <row r="74" spans="1:6">
      <c r="A74" s="195" t="s">
        <v>490</v>
      </c>
      <c r="B74" s="204"/>
      <c r="C74" s="204"/>
      <c r="D74" s="205"/>
    </row>
    <row r="75" spans="1:6">
      <c r="A75" s="173"/>
      <c r="B75" s="32"/>
      <c r="C75" s="32"/>
      <c r="D75" s="210"/>
    </row>
    <row r="76" spans="1:6">
      <c r="A76" s="184"/>
      <c r="B76" s="183"/>
      <c r="C76" s="209" t="s">
        <v>380</v>
      </c>
      <c r="D76" s="224" t="s">
        <v>183</v>
      </c>
    </row>
    <row r="77" spans="1:6">
      <c r="A77" s="172" t="s">
        <v>267</v>
      </c>
      <c r="B77" s="320">
        <f>aantalWP_NB_wonen+aantalWP_NB_wonen_met_kantoor+WP_HH_bestaande_bouw</f>
        <v>9</v>
      </c>
      <c r="C77" s="32"/>
      <c r="D77" s="178"/>
    </row>
    <row r="78" spans="1:6">
      <c r="A78" s="172" t="s">
        <v>456</v>
      </c>
      <c r="B78" s="316">
        <v>13</v>
      </c>
      <c r="C78" s="32" t="s">
        <v>264</v>
      </c>
      <c r="D78" s="310" t="s">
        <v>520</v>
      </c>
    </row>
    <row r="79" spans="1:6">
      <c r="A79" s="172" t="s">
        <v>457</v>
      </c>
      <c r="B79" s="316">
        <v>2000</v>
      </c>
      <c r="C79" s="32" t="s">
        <v>266</v>
      </c>
      <c r="D79" s="310" t="s">
        <v>520</v>
      </c>
    </row>
    <row r="80" spans="1:6">
      <c r="A80" s="172" t="s">
        <v>418</v>
      </c>
      <c r="B80" s="316">
        <v>3.75</v>
      </c>
      <c r="C80" s="43"/>
      <c r="D80" s="310" t="s">
        <v>520</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54" t="s">
        <v>156</v>
      </c>
      <c r="B1" s="1155" t="s">
        <v>196</v>
      </c>
      <c r="C1" s="1156"/>
      <c r="D1" s="1156"/>
      <c r="E1" s="1156"/>
      <c r="F1" s="1156"/>
      <c r="G1" s="1156"/>
      <c r="H1" s="1156"/>
      <c r="I1" s="1156"/>
      <c r="J1" s="1156"/>
      <c r="K1" s="1156"/>
      <c r="L1" s="1156"/>
      <c r="M1" s="1156"/>
      <c r="N1" s="1156"/>
      <c r="O1" s="1156"/>
      <c r="P1" s="1156"/>
    </row>
    <row r="2" spans="1:18" s="317" customFormat="1" ht="15.75" thickTop="1">
      <c r="A2" s="1154"/>
      <c r="B2" s="1157" t="s">
        <v>21</v>
      </c>
      <c r="C2" s="1157" t="s">
        <v>197</v>
      </c>
      <c r="D2" s="1159" t="s">
        <v>198</v>
      </c>
      <c r="E2" s="1160"/>
      <c r="F2" s="1160"/>
      <c r="G2" s="1160"/>
      <c r="H2" s="1160"/>
      <c r="I2" s="1160"/>
      <c r="J2" s="1160"/>
      <c r="K2" s="1161"/>
      <c r="L2" s="1159" t="s">
        <v>199</v>
      </c>
      <c r="M2" s="1160"/>
      <c r="N2" s="1160"/>
      <c r="O2" s="1160"/>
      <c r="P2" s="1161"/>
    </row>
    <row r="3" spans="1:18" s="317" customFormat="1" ht="45">
      <c r="A3" s="1154"/>
      <c r="B3" s="1158"/>
      <c r="C3" s="1158"/>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252"/>
      <c r="G4" s="14"/>
      <c r="H4" s="14"/>
      <c r="I4" s="14"/>
      <c r="J4" s="14"/>
      <c r="K4" s="14"/>
      <c r="L4" s="14"/>
      <c r="M4" s="14"/>
      <c r="N4" s="14"/>
      <c r="O4" s="14"/>
      <c r="P4" s="14"/>
      <c r="R4" s="6"/>
    </row>
    <row r="5" spans="1:18">
      <c r="A5" s="16" t="s">
        <v>260</v>
      </c>
      <c r="B5" s="30">
        <f>SUM(B6:B12)</f>
        <v>6477.9769999999999</v>
      </c>
      <c r="C5" s="17">
        <f>IF(ISERROR('Eigen informatie GS &amp; warmtenet'!B58),0,'Eigen informatie GS &amp; warmtenet'!B58)</f>
        <v>0</v>
      </c>
      <c r="D5" s="30">
        <f>SUM(D6:D12)</f>
        <v>4987.9057580000008</v>
      </c>
      <c r="E5" s="17">
        <f>SUM(E6:E12)</f>
        <v>140.12332185068576</v>
      </c>
      <c r="F5" s="17">
        <f>SUM(F6:F12)</f>
        <v>1321.0843740830794</v>
      </c>
      <c r="G5" s="18"/>
      <c r="H5" s="17"/>
      <c r="I5" s="17"/>
      <c r="J5" s="17">
        <f>SUM(J6:J12)</f>
        <v>0</v>
      </c>
      <c r="K5" s="17"/>
      <c r="L5" s="17"/>
      <c r="M5" s="17"/>
      <c r="N5" s="17">
        <f>SUM(N6:N12)</f>
        <v>215.74008902256784</v>
      </c>
      <c r="O5" s="17">
        <f>B38*B39*B40</f>
        <v>1.5633333333333335</v>
      </c>
      <c r="P5" s="17">
        <f>B46*B47*B48/1000-B46*B47*B48/1000/B49</f>
        <v>0</v>
      </c>
      <c r="R5" s="32"/>
    </row>
    <row r="6" spans="1:18">
      <c r="A6" s="32" t="s">
        <v>54</v>
      </c>
      <c r="B6" s="37">
        <f>B26</f>
        <v>1742.722</v>
      </c>
      <c r="C6" s="33"/>
      <c r="D6" s="37">
        <f>IF(ISERROR(TER_kantoor_gas_kWh/1000),0,TER_kantoor_gas_kWh/1000)*0.902</f>
        <v>2261.2499580000003</v>
      </c>
      <c r="E6" s="33">
        <f>$C$26*'E Balans VL '!I12/100/3.6*1000000</f>
        <v>61.002125426803673</v>
      </c>
      <c r="F6" s="33">
        <f>$C$26*('E Balans VL '!L12+'E Balans VL '!N12)/100/3.6*1000000</f>
        <v>264.23407107469808</v>
      </c>
      <c r="G6" s="34"/>
      <c r="H6" s="33"/>
      <c r="I6" s="33"/>
      <c r="J6" s="33">
        <f>$C$26*('E Balans VL '!D12+'E Balans VL '!E12)/100/3.6*1000000</f>
        <v>0</v>
      </c>
      <c r="K6" s="33"/>
      <c r="L6" s="33"/>
      <c r="M6" s="33"/>
      <c r="N6" s="33">
        <f>$C$26*'E Balans VL '!Y12/100/3.6*1000000</f>
        <v>13.470695603025652</v>
      </c>
      <c r="O6" s="33"/>
      <c r="P6" s="33"/>
      <c r="R6" s="32"/>
    </row>
    <row r="7" spans="1:18">
      <c r="A7" s="32" t="s">
        <v>53</v>
      </c>
      <c r="B7" s="37">
        <f t="shared" ref="B7:B12" si="0">B27</f>
        <v>1108.395</v>
      </c>
      <c r="C7" s="33"/>
      <c r="D7" s="37">
        <f>IF(ISERROR(TER_horeca_gas_kWh/1000),0,TER_horeca_gas_kWh/1000)*0.902</f>
        <v>679.17352800000003</v>
      </c>
      <c r="E7" s="33">
        <f>$C$27*'E Balans VL '!I9/100/3.6*1000000</f>
        <v>62.528216064173193</v>
      </c>
      <c r="F7" s="33">
        <f>$C$27*('E Balans VL '!L9+'E Balans VL '!N9)/100/3.6*1000000</f>
        <v>193.08854293668603</v>
      </c>
      <c r="G7" s="34"/>
      <c r="H7" s="33"/>
      <c r="I7" s="33"/>
      <c r="J7" s="33">
        <f>$C$27*('E Balans VL '!D9+'E Balans VL '!E9)/100/3.6*1000000</f>
        <v>0</v>
      </c>
      <c r="K7" s="33"/>
      <c r="L7" s="33"/>
      <c r="M7" s="33"/>
      <c r="N7" s="33">
        <f>$C$27*'E Balans VL '!Y9/100/3.6*1000000</f>
        <v>0</v>
      </c>
      <c r="O7" s="33"/>
      <c r="P7" s="33"/>
      <c r="R7" s="32"/>
    </row>
    <row r="8" spans="1:18">
      <c r="A8" s="6" t="s">
        <v>52</v>
      </c>
      <c r="B8" s="37">
        <f t="shared" si="0"/>
        <v>2141.5770000000002</v>
      </c>
      <c r="C8" s="33"/>
      <c r="D8" s="37">
        <f>IF(ISERROR(TER_handel_gas_kWh/1000),0,TER_handel_gas_kWh/1000)*0.902</f>
        <v>656.87338199999999</v>
      </c>
      <c r="E8" s="33">
        <f>$C$28*'E Balans VL '!I13/100/3.6*1000000</f>
        <v>10.99463873693246</v>
      </c>
      <c r="F8" s="33">
        <f>$C$28*('E Balans VL '!L13+'E Balans VL '!N13)/100/3.6*1000000</f>
        <v>330.1980826384351</v>
      </c>
      <c r="G8" s="34"/>
      <c r="H8" s="33"/>
      <c r="I8" s="33"/>
      <c r="J8" s="33">
        <f>$C$28*('E Balans VL '!D13+'E Balans VL '!E13)/100/3.6*1000000</f>
        <v>0</v>
      </c>
      <c r="K8" s="33"/>
      <c r="L8" s="33"/>
      <c r="M8" s="33"/>
      <c r="N8" s="33">
        <f>$C$28*'E Balans VL '!Y13/100/3.6*1000000</f>
        <v>1.0016417043660244</v>
      </c>
      <c r="O8" s="33"/>
      <c r="P8" s="33"/>
      <c r="R8" s="32"/>
    </row>
    <row r="9" spans="1:18">
      <c r="A9" s="32" t="s">
        <v>51</v>
      </c>
      <c r="B9" s="37">
        <f t="shared" si="0"/>
        <v>310.11</v>
      </c>
      <c r="C9" s="33"/>
      <c r="D9" s="37">
        <f>IF(ISERROR(TER_gezond_gas_kWh/1000),0,TER_gezond_gas_kWh/1000)*0.902</f>
        <v>313.53429799999998</v>
      </c>
      <c r="E9" s="33">
        <f>$C$29*'E Balans VL '!I10/100/3.6*1000000</f>
        <v>0.12853838647573304</v>
      </c>
      <c r="F9" s="33">
        <f>$C$29*('E Balans VL '!L10+'E Balans VL '!N10)/100/3.6*1000000</f>
        <v>76.375645429327321</v>
      </c>
      <c r="G9" s="34"/>
      <c r="H9" s="33"/>
      <c r="I9" s="33"/>
      <c r="J9" s="33">
        <f>$C$29*('E Balans VL '!D10+'E Balans VL '!E10)/100/3.6*1000000</f>
        <v>0</v>
      </c>
      <c r="K9" s="33"/>
      <c r="L9" s="33"/>
      <c r="M9" s="33"/>
      <c r="N9" s="33">
        <f>$C$29*'E Balans VL '!Y10/100/3.6*1000000</f>
        <v>2.6801179610502954</v>
      </c>
      <c r="O9" s="33"/>
      <c r="P9" s="33"/>
      <c r="R9" s="32"/>
    </row>
    <row r="10" spans="1:18">
      <c r="A10" s="32" t="s">
        <v>50</v>
      </c>
      <c r="B10" s="37">
        <f t="shared" si="0"/>
        <v>857.57100000000003</v>
      </c>
      <c r="C10" s="33"/>
      <c r="D10" s="37">
        <f>IF(ISERROR(TER_ander_gas_kWh/1000),0,TER_ander_gas_kWh/1000)*0.902</f>
        <v>182.03171800000001</v>
      </c>
      <c r="E10" s="33">
        <f>$C$30*'E Balans VL '!I14/100/3.6*1000000</f>
        <v>5.2277739745898257</v>
      </c>
      <c r="F10" s="33">
        <f>$C$30*('E Balans VL '!L14+'E Balans VL '!N14)/100/3.6*1000000</f>
        <v>227.35381949013563</v>
      </c>
      <c r="G10" s="34"/>
      <c r="H10" s="33"/>
      <c r="I10" s="33"/>
      <c r="J10" s="33">
        <f>$C$30*('E Balans VL '!D14+'E Balans VL '!E14)/100/3.6*1000000</f>
        <v>0</v>
      </c>
      <c r="K10" s="33"/>
      <c r="L10" s="33"/>
      <c r="M10" s="33"/>
      <c r="N10" s="33">
        <f>$C$30*'E Balans VL '!Y14/100/3.6*1000000</f>
        <v>197.65158475463102</v>
      </c>
      <c r="O10" s="33"/>
      <c r="P10" s="33"/>
      <c r="R10" s="32"/>
    </row>
    <row r="11" spans="1:18">
      <c r="A11" s="32" t="s">
        <v>55</v>
      </c>
      <c r="B11" s="37">
        <f t="shared" si="0"/>
        <v>317.60199999999998</v>
      </c>
      <c r="C11" s="33"/>
      <c r="D11" s="37">
        <f>IF(ISERROR(TER_onderwijs_gas_kWh/1000),0,TER_onderwijs_gas_kWh/1000)*0.902</f>
        <v>895.0428740000001</v>
      </c>
      <c r="E11" s="33">
        <f>$C$31*'E Balans VL '!I11/100/3.6*1000000</f>
        <v>0.24202926171084987</v>
      </c>
      <c r="F11" s="33">
        <f>$C$31*('E Balans VL '!L11+'E Balans VL '!N11)/100/3.6*1000000</f>
        <v>229.83421251379727</v>
      </c>
      <c r="G11" s="34"/>
      <c r="H11" s="33"/>
      <c r="I11" s="33"/>
      <c r="J11" s="33">
        <f>$C$31*('E Balans VL '!D11+'E Balans VL '!E11)/100/3.6*1000000</f>
        <v>0</v>
      </c>
      <c r="K11" s="33"/>
      <c r="L11" s="33"/>
      <c r="M11" s="33"/>
      <c r="N11" s="33">
        <f>$C$31*'E Balans VL '!Y11/100/3.6*1000000</f>
        <v>0.93604899949485265</v>
      </c>
      <c r="O11" s="33"/>
      <c r="P11" s="33"/>
      <c r="R11" s="32"/>
    </row>
    <row r="12" spans="1:18">
      <c r="A12" s="32" t="s">
        <v>261</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497</v>
      </c>
      <c r="B13" s="248">
        <f ca="1">'lokale energieproductie'!N90+'lokale energieproductie'!N59</f>
        <v>0</v>
      </c>
      <c r="C13" s="248">
        <f ca="1">'lokale energieproductie'!O90+'lokale energieproductie'!O59</f>
        <v>0</v>
      </c>
      <c r="D13" s="311">
        <f ca="1">('lokale energieproductie'!P59+'lokale energieproductie'!P90)*(-1)</f>
        <v>0</v>
      </c>
      <c r="E13" s="249"/>
      <c r="F13" s="311">
        <f ca="1">('lokale energieproductie'!S59+'lokale energieproductie'!S90)*(-1)</f>
        <v>0</v>
      </c>
      <c r="G13" s="250"/>
      <c r="H13" s="249"/>
      <c r="I13" s="249"/>
      <c r="J13" s="249"/>
      <c r="K13" s="249"/>
      <c r="L13" s="311">
        <f ca="1">('lokale energieproductie'!U59+'lokale energieproductie'!T59+'lokale energieproductie'!U90+'lokale energieproductie'!T90)*(-1)</f>
        <v>0</v>
      </c>
      <c r="M13" s="249"/>
      <c r="N13" s="311">
        <f ca="1">('lokale energieproductie'!Q59+'lokale energieproductie'!R59+'lokale energieproductie'!V59+'lokale energieproductie'!Q90+'lokale energieproductie'!R90+'lokale energieproductie'!V90)*(-1)</f>
        <v>0</v>
      </c>
      <c r="O13" s="249"/>
      <c r="P13" s="249"/>
      <c r="R13" s="32"/>
    </row>
    <row r="14" spans="1:18">
      <c r="A14" s="16" t="s">
        <v>511</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262</v>
      </c>
      <c r="B16" s="21">
        <f ca="1">B5+B13+B14</f>
        <v>6477.9769999999999</v>
      </c>
      <c r="C16" s="21">
        <f ca="1">C5+C13+C14</f>
        <v>0</v>
      </c>
      <c r="D16" s="21">
        <f t="shared" ref="D16:N16" ca="1" si="1">MAX((D5+D13+D14),0)</f>
        <v>4987.9057580000008</v>
      </c>
      <c r="E16" s="21">
        <f t="shared" si="1"/>
        <v>140.12332185068576</v>
      </c>
      <c r="F16" s="21">
        <f t="shared" ca="1" si="1"/>
        <v>1321.0843740830794</v>
      </c>
      <c r="G16" s="21">
        <f t="shared" si="1"/>
        <v>0</v>
      </c>
      <c r="H16" s="21">
        <f t="shared" si="1"/>
        <v>0</v>
      </c>
      <c r="I16" s="21">
        <f t="shared" si="1"/>
        <v>0</v>
      </c>
      <c r="J16" s="21">
        <f t="shared" si="1"/>
        <v>0</v>
      </c>
      <c r="K16" s="21">
        <f t="shared" si="1"/>
        <v>0</v>
      </c>
      <c r="L16" s="21">
        <f t="shared" ca="1" si="1"/>
        <v>0</v>
      </c>
      <c r="M16" s="21">
        <f t="shared" si="1"/>
        <v>0</v>
      </c>
      <c r="N16" s="21">
        <f t="shared" ca="1" si="1"/>
        <v>215.74008902256784</v>
      </c>
      <c r="O16" s="21">
        <f>O5</f>
        <v>1.5633333333333335</v>
      </c>
      <c r="P16" s="21">
        <f>P5</f>
        <v>0</v>
      </c>
      <c r="R16" s="32"/>
    </row>
    <row r="17" spans="1:18">
      <c r="A17"/>
      <c r="B17" s="19"/>
      <c r="C17" s="19"/>
      <c r="D17" s="19"/>
      <c r="E17" s="19"/>
      <c r="F17" s="19"/>
      <c r="G17" s="19"/>
      <c r="H17" s="19"/>
      <c r="I17" s="19"/>
      <c r="J17" s="19"/>
      <c r="K17" s="19"/>
      <c r="L17" s="19"/>
      <c r="M17" s="19"/>
      <c r="N17" s="19"/>
      <c r="O17" s="19"/>
      <c r="P17" s="19"/>
      <c r="R17" s="32"/>
    </row>
    <row r="18" spans="1:18">
      <c r="A18" s="24" t="s">
        <v>215</v>
      </c>
      <c r="B18" s="25">
        <f ca="1">'EF ele_warmte'!B12</f>
        <v>0.20522445332795367</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214</v>
      </c>
      <c r="B20" s="23">
        <f ca="1">B16*B18</f>
        <v>1329.4392884960573</v>
      </c>
      <c r="C20" s="23">
        <f t="shared" ref="C20:P20" ca="1" si="2">C16*C18</f>
        <v>0</v>
      </c>
      <c r="D20" s="23">
        <f t="shared" ca="1" si="2"/>
        <v>1007.5569631160002</v>
      </c>
      <c r="E20" s="23">
        <f t="shared" si="2"/>
        <v>31.807994060105667</v>
      </c>
      <c r="F20" s="23">
        <f t="shared" ca="1" si="2"/>
        <v>352.72952788018222</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496</v>
      </c>
      <c r="B23" s="204"/>
      <c r="C23" s="204"/>
      <c r="D23" s="226"/>
    </row>
    <row r="24" spans="1:18">
      <c r="A24" s="237"/>
      <c r="B24" s="32"/>
      <c r="C24" s="32"/>
      <c r="D24" s="238"/>
    </row>
    <row r="25" spans="1:18">
      <c r="A25" s="239"/>
      <c r="B25" s="225" t="s">
        <v>268</v>
      </c>
      <c r="C25" s="225" t="s">
        <v>269</v>
      </c>
      <c r="D25" s="240" t="s">
        <v>183</v>
      </c>
    </row>
    <row r="26" spans="1:18">
      <c r="A26" s="232" t="s">
        <v>54</v>
      </c>
      <c r="B26" s="33">
        <f>IF(ISERROR(TER_kantoor_ele_kWh/1000),0,TER_kantoor_ele_kWh/1000)</f>
        <v>1742.722</v>
      </c>
      <c r="C26" s="39">
        <f>IF(ISERROR(B26*3.6/1000000/'E Balans VL '!Z12*100),0,B26*3.6/1000000/'E Balans VL '!Z12*100)</f>
        <v>3.6672694403106824E-2</v>
      </c>
      <c r="D26" s="238" t="s">
        <v>720</v>
      </c>
      <c r="F26" s="6"/>
    </row>
    <row r="27" spans="1:18">
      <c r="A27" s="232" t="s">
        <v>53</v>
      </c>
      <c r="B27" s="33">
        <f>IF(ISERROR(TER_horeca_ele_kWh/1000),0,TER_horeca_ele_kWh/1000)</f>
        <v>1108.395</v>
      </c>
      <c r="C27" s="39">
        <f>IF(ISERROR(B27*3.6/1000000/'E Balans VL '!Z9*100),0,B27*3.6/1000000/'E Balans VL '!Z9*100)</f>
        <v>9.384469008889279E-2</v>
      </c>
      <c r="D27" s="238" t="s">
        <v>720</v>
      </c>
      <c r="F27" s="6"/>
    </row>
    <row r="28" spans="1:18">
      <c r="A28" s="172" t="s">
        <v>52</v>
      </c>
      <c r="B28" s="33">
        <f>IF(ISERROR(TER_handel_ele_kWh/1000),0,TER_handel_ele_kWh/1000)</f>
        <v>2141.5770000000002</v>
      </c>
      <c r="C28" s="39">
        <f>IF(ISERROR(B28*3.6/1000000/'E Balans VL '!Z13*100),0,B28*3.6/1000000/'E Balans VL '!Z13*100)</f>
        <v>5.9289263109776134E-2</v>
      </c>
      <c r="D28" s="238" t="s">
        <v>720</v>
      </c>
      <c r="F28" s="6"/>
    </row>
    <row r="29" spans="1:18">
      <c r="A29" s="232" t="s">
        <v>51</v>
      </c>
      <c r="B29" s="33">
        <f>IF(ISERROR(TER_gezond_ele_kWh/1000),0,TER_gezond_ele_kWh/1000)</f>
        <v>310.11</v>
      </c>
      <c r="C29" s="39">
        <f>IF(ISERROR(B29*3.6/1000000/'E Balans VL '!Z10*100),0,B29*3.6/1000000/'E Balans VL '!Z10*100)</f>
        <v>4.0310862029818026E-2</v>
      </c>
      <c r="D29" s="238" t="s">
        <v>720</v>
      </c>
      <c r="F29" s="6"/>
    </row>
    <row r="30" spans="1:18">
      <c r="A30" s="232" t="s">
        <v>50</v>
      </c>
      <c r="B30" s="33">
        <f>IF(ISERROR(TER_ander_ele_kWh/1000),0,TER_ander_ele_kWh/1000)</f>
        <v>857.57100000000003</v>
      </c>
      <c r="C30" s="39">
        <f>IF(ISERROR(B30*3.6/1000000/'E Balans VL '!Z14*100),0,B30*3.6/1000000/'E Balans VL '!Z14*100)</f>
        <v>6.6469617026849212E-2</v>
      </c>
      <c r="D30" s="238" t="s">
        <v>720</v>
      </c>
      <c r="F30" s="6"/>
    </row>
    <row r="31" spans="1:18">
      <c r="A31" s="232" t="s">
        <v>55</v>
      </c>
      <c r="B31" s="33">
        <f>IF(ISERROR(TER_onderwijs_ele_kWh/1000),0,TER_onderwijs_ele_kWh/1000)</f>
        <v>317.60199999999998</v>
      </c>
      <c r="C31" s="39">
        <f>IF(ISERROR(B31*3.6/1000000/'E Balans VL '!Z11*100),0,B31*3.6/1000000/'E Balans VL '!Z11*100)</f>
        <v>6.0762674423554208E-2</v>
      </c>
      <c r="D31" s="238" t="s">
        <v>720</v>
      </c>
    </row>
    <row r="32" spans="1:18">
      <c r="A32" s="232" t="s">
        <v>261</v>
      </c>
      <c r="B32" s="33">
        <f>IF(ISERROR(TER_rest_ele_kWh/1000),0,TER_rest_ele_kWh/1000)</f>
        <v>0</v>
      </c>
      <c r="C32" s="39">
        <f>IF(ISERROR(B32*3.6/1000000/'E Balans VL '!Z8*100),0,B32*3.6/1000000/'E Balans VL '!Z8*100)</f>
        <v>0</v>
      </c>
      <c r="D32" s="238" t="s">
        <v>720</v>
      </c>
    </row>
    <row r="33" spans="1:4">
      <c r="A33" s="241"/>
      <c r="B33" s="181"/>
      <c r="C33" s="181"/>
      <c r="D33" s="242"/>
    </row>
    <row r="34" spans="1:4">
      <c r="A34" s="32"/>
      <c r="B34" s="32"/>
      <c r="C34" s="32"/>
    </row>
    <row r="35" spans="1:4">
      <c r="A35" s="194" t="s">
        <v>489</v>
      </c>
      <c r="B35" s="204"/>
      <c r="C35" s="204"/>
      <c r="D35" s="226"/>
    </row>
    <row r="36" spans="1:4">
      <c r="A36" s="237"/>
      <c r="B36" s="32"/>
      <c r="C36" s="32"/>
      <c r="D36" s="233"/>
    </row>
    <row r="37" spans="1:4">
      <c r="A37" s="243"/>
      <c r="B37" s="244"/>
      <c r="C37" s="225" t="s">
        <v>380</v>
      </c>
      <c r="D37" s="245" t="s">
        <v>183</v>
      </c>
    </row>
    <row r="38" spans="1:4">
      <c r="A38" s="172" t="s">
        <v>267</v>
      </c>
      <c r="B38" s="320">
        <f>aantalZB_NB_ander+aantalZB_NB_ander_met_kantoor+aantalZB_NB_kantoor+aantalZB_NB_school+ZB_NHH_bestaande_bouw</f>
        <v>1</v>
      </c>
      <c r="C38" s="43"/>
      <c r="D38" s="233"/>
    </row>
    <row r="39" spans="1:4">
      <c r="A39" s="172" t="s">
        <v>486</v>
      </c>
      <c r="B39" s="316">
        <v>4.2</v>
      </c>
      <c r="C39" s="43"/>
      <c r="D39" s="310" t="s">
        <v>520</v>
      </c>
    </row>
    <row r="40" spans="1:4">
      <c r="A40" s="6" t="s">
        <v>487</v>
      </c>
      <c r="B40" s="321">
        <f>1.34/3.6</f>
        <v>0.37222222222222223</v>
      </c>
      <c r="C40" s="43" t="s">
        <v>219</v>
      </c>
      <c r="D40" s="310" t="s">
        <v>520</v>
      </c>
    </row>
    <row r="41" spans="1:4">
      <c r="A41" s="241"/>
      <c r="B41" s="181"/>
      <c r="C41" s="181"/>
      <c r="D41" s="242"/>
    </row>
    <row r="43" spans="1:4">
      <c r="A43" s="195" t="s">
        <v>490</v>
      </c>
      <c r="B43" s="204"/>
      <c r="C43" s="204"/>
      <c r="D43" s="226"/>
    </row>
    <row r="44" spans="1:4">
      <c r="A44" s="231"/>
      <c r="B44" s="32"/>
      <c r="C44" s="32"/>
      <c r="D44" s="233"/>
    </row>
    <row r="45" spans="1:4">
      <c r="A45" s="243"/>
      <c r="B45" s="244"/>
      <c r="C45" s="225" t="s">
        <v>380</v>
      </c>
      <c r="D45" s="245" t="s">
        <v>183</v>
      </c>
    </row>
    <row r="46" spans="1:4">
      <c r="A46" s="172" t="s">
        <v>267</v>
      </c>
      <c r="B46" s="545">
        <f>aantalWP_NB_ander+antalWP_NB_ander_met_kantoor+aantalWP_NB_kantoor+aantalWP_NB_school+WP_NHH_bestaande_bouw</f>
        <v>0</v>
      </c>
      <c r="C46" s="32"/>
      <c r="D46" s="233"/>
    </row>
    <row r="47" spans="1:4">
      <c r="A47" s="172" t="s">
        <v>456</v>
      </c>
      <c r="B47" s="546">
        <v>13</v>
      </c>
      <c r="C47" s="32" t="s">
        <v>264</v>
      </c>
      <c r="D47" s="310" t="s">
        <v>520</v>
      </c>
    </row>
    <row r="48" spans="1:4">
      <c r="A48" s="172" t="s">
        <v>457</v>
      </c>
      <c r="B48" s="546">
        <v>2000</v>
      </c>
      <c r="C48" s="32" t="s">
        <v>266</v>
      </c>
      <c r="D48" s="310" t="s">
        <v>520</v>
      </c>
    </row>
    <row r="49" spans="1:4">
      <c r="A49" s="172" t="s">
        <v>418</v>
      </c>
      <c r="B49" s="546">
        <v>3.75</v>
      </c>
      <c r="C49" s="32"/>
      <c r="D49" s="310" t="s">
        <v>520</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54" t="s">
        <v>163</v>
      </c>
      <c r="B1" s="1155" t="s">
        <v>196</v>
      </c>
      <c r="C1" s="1156"/>
      <c r="D1" s="1156"/>
      <c r="E1" s="1156"/>
      <c r="F1" s="1156"/>
      <c r="G1" s="1156"/>
      <c r="H1" s="1156"/>
      <c r="I1" s="1156"/>
      <c r="J1" s="1156"/>
      <c r="K1" s="1156"/>
      <c r="L1" s="1156"/>
      <c r="M1" s="1156"/>
      <c r="N1" s="1156"/>
      <c r="O1" s="1156"/>
      <c r="P1" s="1156"/>
      <c r="R1" s="809"/>
    </row>
    <row r="2" spans="1:18" s="317" customFormat="1" ht="15.75" thickTop="1">
      <c r="A2" s="1154"/>
      <c r="B2" s="1157" t="s">
        <v>21</v>
      </c>
      <c r="C2" s="1157" t="s">
        <v>197</v>
      </c>
      <c r="D2" s="1159" t="s">
        <v>198</v>
      </c>
      <c r="E2" s="1160"/>
      <c r="F2" s="1160"/>
      <c r="G2" s="1160"/>
      <c r="H2" s="1160"/>
      <c r="I2" s="1160"/>
      <c r="J2" s="1160"/>
      <c r="K2" s="1161"/>
      <c r="L2" s="1159" t="s">
        <v>199</v>
      </c>
      <c r="M2" s="1160"/>
      <c r="N2" s="1160"/>
      <c r="O2" s="1160"/>
      <c r="P2" s="1161"/>
      <c r="R2" s="809"/>
    </row>
    <row r="3" spans="1:18" s="317" customFormat="1" ht="45">
      <c r="A3" s="1154"/>
      <c r="B3" s="1158"/>
      <c r="C3" s="1158"/>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c r="R3" s="809"/>
    </row>
    <row r="4" spans="1:18" ht="15.75">
      <c r="A4" s="13"/>
      <c r="B4" s="14"/>
      <c r="C4" s="14"/>
      <c r="D4" s="14"/>
      <c r="E4" s="14"/>
      <c r="F4" s="14"/>
      <c r="G4" s="14"/>
      <c r="H4" s="14"/>
      <c r="I4" s="14"/>
      <c r="J4" s="14"/>
      <c r="K4" s="14"/>
      <c r="L4" s="14"/>
      <c r="M4" s="14"/>
      <c r="N4" s="14"/>
      <c r="O4" s="14"/>
      <c r="P4" s="14"/>
      <c r="R4" s="6"/>
    </row>
    <row r="5" spans="1:18">
      <c r="A5" s="16" t="s">
        <v>270</v>
      </c>
      <c r="B5" s="30">
        <f>SUM(B6:B15)</f>
        <v>2922.4690000000001</v>
      </c>
      <c r="C5" s="17">
        <f>IF(ISERROR('Eigen informatie GS &amp; warmtenet'!B59),0,'Eigen informatie GS &amp; warmtenet'!B59)</f>
        <v>0</v>
      </c>
      <c r="D5" s="30">
        <f>SUM(D6:D15)</f>
        <v>1701.1485480000001</v>
      </c>
      <c r="E5" s="17">
        <f>SUM(E6:E15)</f>
        <v>37.092573745283914</v>
      </c>
      <c r="F5" s="17">
        <f>SUM(F6:F15)</f>
        <v>1427.2289104483818</v>
      </c>
      <c r="G5" s="18"/>
      <c r="H5" s="17"/>
      <c r="I5" s="17"/>
      <c r="J5" s="17">
        <f>SUM(J6:J15)</f>
        <v>20.964896430959197</v>
      </c>
      <c r="K5" s="17"/>
      <c r="L5" s="17"/>
      <c r="M5" s="17"/>
      <c r="N5" s="17">
        <f>SUM(N6:N15)</f>
        <v>128.89409729144262</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921.30499999999995</v>
      </c>
      <c r="C8" s="33"/>
      <c r="D8" s="37">
        <f>IF( ISERROR(IND_metaal_Gas_kWH/1000),0,IND_metaal_Gas_kWH/1000)*0.902</f>
        <v>758.16798200000005</v>
      </c>
      <c r="E8" s="33">
        <f>C30*'E Balans VL '!I18/100/3.6*1000000</f>
        <v>6.4738069582724362</v>
      </c>
      <c r="F8" s="33">
        <f>C30*'E Balans VL '!L18/100/3.6*1000000+C30*'E Balans VL '!N18/100/3.6*1000000</f>
        <v>101.15389883520395</v>
      </c>
      <c r="G8" s="34"/>
      <c r="H8" s="33"/>
      <c r="I8" s="33"/>
      <c r="J8" s="40">
        <f>C30*'E Balans VL '!D18/100/3.6*1000000+C30*'E Balans VL '!E18/100/3.6*1000000</f>
        <v>19.008507923216879</v>
      </c>
      <c r="K8" s="33"/>
      <c r="L8" s="33"/>
      <c r="M8" s="33"/>
      <c r="N8" s="33">
        <f>C30*'E Balans VL '!Y18/100/3.6*1000000</f>
        <v>3.4531174923149295</v>
      </c>
      <c r="O8" s="33"/>
      <c r="P8" s="33"/>
      <c r="R8" s="32"/>
    </row>
    <row r="9" spans="1:18">
      <c r="A9" s="6" t="s">
        <v>33</v>
      </c>
      <c r="B9" s="37">
        <f t="shared" si="0"/>
        <v>1612.0730000000001</v>
      </c>
      <c r="C9" s="33"/>
      <c r="D9" s="37">
        <f>IF( ISERROR(IND_andere_gas_kWh/1000),0,IND_andere_gas_kWh/1000)*0.902</f>
        <v>746.01714000000004</v>
      </c>
      <c r="E9" s="33">
        <f>C31*'E Balans VL '!I19/100/3.6*1000000</f>
        <v>27.076740887478532</v>
      </c>
      <c r="F9" s="33">
        <f>C31*'E Balans VL '!L19/100/3.6*1000000+C31*'E Balans VL '!N19/100/3.6*1000000</f>
        <v>1260.2268545776594</v>
      </c>
      <c r="G9" s="34"/>
      <c r="H9" s="33"/>
      <c r="I9" s="33"/>
      <c r="J9" s="40">
        <f>C31*'E Balans VL '!D19/100/3.6*1000000+C31*'E Balans VL '!E19/100/3.6*1000000</f>
        <v>0.14539475421111997</v>
      </c>
      <c r="K9" s="33"/>
      <c r="L9" s="33"/>
      <c r="M9" s="33"/>
      <c r="N9" s="33">
        <f>C31*'E Balans VL '!Y19/100/3.6*1000000</f>
        <v>119.48047273433892</v>
      </c>
      <c r="O9" s="33"/>
      <c r="P9" s="33"/>
      <c r="R9" s="32"/>
    </row>
    <row r="10" spans="1:18">
      <c r="A10" s="6" t="s">
        <v>41</v>
      </c>
      <c r="B10" s="37">
        <f t="shared" si="0"/>
        <v>309.36399999999998</v>
      </c>
      <c r="C10" s="33"/>
      <c r="D10" s="37">
        <f>IF( ISERROR(IND_voed_gas_kWh/1000),0,IND_voed_gas_kWh/1000)*0.902</f>
        <v>196.963426</v>
      </c>
      <c r="E10" s="33">
        <f>C32*'E Balans VL '!I20/100/3.6*1000000</f>
        <v>2.8225085797959806</v>
      </c>
      <c r="F10" s="33">
        <f>C32*'E Balans VL '!L20/100/3.6*1000000+C32*'E Balans VL '!N20/100/3.6*1000000</f>
        <v>49.910089539640893</v>
      </c>
      <c r="G10" s="34"/>
      <c r="H10" s="33"/>
      <c r="I10" s="33"/>
      <c r="J10" s="40">
        <f>C32*'E Balans VL '!D20/100/3.6*1000000+C32*'E Balans VL '!E20/100/3.6*1000000</f>
        <v>1.2741637808563471</v>
      </c>
      <c r="K10" s="33"/>
      <c r="L10" s="33"/>
      <c r="M10" s="33"/>
      <c r="N10" s="33">
        <f>C32*'E Balans VL '!Y20/100/3.6*1000000</f>
        <v>4.5257513796395532</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271</v>
      </c>
      <c r="B15" s="37">
        <f t="shared" si="0"/>
        <v>79.727000000000004</v>
      </c>
      <c r="C15" s="33"/>
      <c r="D15" s="37">
        <f>IF( ISERROR(IND_rest_gas_kWh/1000),0,IND_rest_gas_kWh/1000)*0.902</f>
        <v>0</v>
      </c>
      <c r="E15" s="33">
        <f>C37*'E Balans VL '!I15/100/3.6*1000000</f>
        <v>0.71951731973696265</v>
      </c>
      <c r="F15" s="33">
        <f>C37*'E Balans VL '!L15/100/3.6*1000000+C37*'E Balans VL '!N15/100/3.6*1000000</f>
        <v>15.938067495877437</v>
      </c>
      <c r="G15" s="34"/>
      <c r="H15" s="33"/>
      <c r="I15" s="33"/>
      <c r="J15" s="40">
        <f>C37*'E Balans VL '!D15/100/3.6*1000000+C37*'E Balans VL '!E15/100/3.6*1000000</f>
        <v>0.53682997267484656</v>
      </c>
      <c r="K15" s="33"/>
      <c r="L15" s="33"/>
      <c r="M15" s="33"/>
      <c r="N15" s="33">
        <f>C37*'E Balans VL '!Y15/100/3.6*1000000</f>
        <v>1.4347556851492052</v>
      </c>
      <c r="O15" s="33"/>
      <c r="P15" s="33"/>
      <c r="R15" s="32"/>
    </row>
    <row r="16" spans="1:18">
      <c r="A16" s="16" t="s">
        <v>497</v>
      </c>
      <c r="B16" s="248">
        <f>'lokale energieproductie'!N89+'lokale energieproductie'!N58</f>
        <v>0</v>
      </c>
      <c r="C16" s="248">
        <f>'lokale energieproductie'!O89+'lokale energieproductie'!O58</f>
        <v>0</v>
      </c>
      <c r="D16" s="311">
        <f>('lokale energieproductie'!P58+'lokale energieproductie'!P89)*(-1)</f>
        <v>0</v>
      </c>
      <c r="E16" s="249"/>
      <c r="F16" s="311">
        <f>('lokale energieproductie'!S58+'lokale energieproductie'!S89)*(-1)</f>
        <v>0</v>
      </c>
      <c r="G16" s="250"/>
      <c r="H16" s="249"/>
      <c r="I16" s="249"/>
      <c r="J16" s="249"/>
      <c r="K16" s="249"/>
      <c r="L16" s="311">
        <f>('lokale energieproductie'!T58+'lokale energieproductie'!U58+'lokale energieproductie'!T89+'lokale energieproductie'!U89)*(-1)</f>
        <v>0</v>
      </c>
      <c r="M16" s="249"/>
      <c r="N16" s="311">
        <f>('lokale energieproductie'!Q58+'lokale energieproductie'!R58+'lokale energieproductie'!V58+'lokale energieproductie'!Q89+'lokale energieproductie'!R89+'lokale energieproductie'!V89)*(-1)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279</v>
      </c>
      <c r="B18" s="21">
        <f>B5+B16</f>
        <v>2922.4690000000001</v>
      </c>
      <c r="C18" s="21">
        <f>C5+C16</f>
        <v>0</v>
      </c>
      <c r="D18" s="21">
        <f>MAX((D5+D16),0)</f>
        <v>1701.1485480000001</v>
      </c>
      <c r="E18" s="21">
        <f>MAX((E5+E16),0)</f>
        <v>37.092573745283914</v>
      </c>
      <c r="F18" s="21">
        <f>MAX((F5+F16),0)</f>
        <v>1427.2289104483818</v>
      </c>
      <c r="G18" s="21"/>
      <c r="H18" s="21"/>
      <c r="I18" s="21"/>
      <c r="J18" s="21">
        <f>MAX((J5+J16),0)</f>
        <v>20.964896430959197</v>
      </c>
      <c r="K18" s="21"/>
      <c r="L18" s="21">
        <f>MAX((L5+L16),0)</f>
        <v>0</v>
      </c>
      <c r="M18" s="21"/>
      <c r="N18" s="21">
        <f>MAX((N5+N16),0)</f>
        <v>128.89409729144262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215</v>
      </c>
      <c r="B20" s="25">
        <f ca="1">'EF ele_warmte'!B12</f>
        <v>0.20522445332795367</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214</v>
      </c>
      <c r="B22" s="23">
        <f ca="1">B18*B20</f>
        <v>599.76210289289145</v>
      </c>
      <c r="C22" s="23">
        <f ca="1">C18*C20</f>
        <v>0</v>
      </c>
      <c r="D22" s="23">
        <f>D18*D20</f>
        <v>343.63200669600002</v>
      </c>
      <c r="E22" s="23">
        <f>E18*E20</f>
        <v>8.420014240179448</v>
      </c>
      <c r="F22" s="23">
        <f>F18*F20</f>
        <v>381.07011908971799</v>
      </c>
      <c r="G22" s="23"/>
      <c r="H22" s="23"/>
      <c r="I22" s="23"/>
      <c r="J22" s="23">
        <f>J18*J20</f>
        <v>7.4215733365595549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496</v>
      </c>
      <c r="B25" s="204"/>
      <c r="C25" s="204"/>
      <c r="D25" s="226"/>
    </row>
    <row r="26" spans="1:18">
      <c r="A26" s="237"/>
      <c r="B26" s="32"/>
      <c r="C26" s="32"/>
      <c r="D26" s="238"/>
    </row>
    <row r="27" spans="1:18">
      <c r="A27" s="239"/>
      <c r="B27" s="225" t="s">
        <v>268</v>
      </c>
      <c r="C27" s="225" t="s">
        <v>269</v>
      </c>
      <c r="D27" s="240" t="s">
        <v>183</v>
      </c>
    </row>
    <row r="28" spans="1:18">
      <c r="A28" s="172" t="s">
        <v>35</v>
      </c>
      <c r="B28" s="37"/>
      <c r="C28" s="39"/>
      <c r="D28" s="238" t="s">
        <v>720</v>
      </c>
    </row>
    <row r="29" spans="1:18">
      <c r="A29" s="172" t="s">
        <v>38</v>
      </c>
      <c r="B29" s="37">
        <f>IF( ISERROR(IND_nonf_ele_kWh/1000),0,IND_nonf_ele_kWh/1000)</f>
        <v>0</v>
      </c>
      <c r="C29" s="39">
        <f>IF(ISERROR(B29*3.6/1000000/'E Balans VL '!Z17*100),0,B29*3.6/1000000/'E Balans VL '!Z17*100)</f>
        <v>0</v>
      </c>
      <c r="D29" s="238" t="s">
        <v>720</v>
      </c>
    </row>
    <row r="30" spans="1:18">
      <c r="A30" s="172" t="s">
        <v>36</v>
      </c>
      <c r="B30" s="37">
        <f>IF( ISERROR(IND_metaal_ele_kWh/1000),0,IND_metaal_ele_kWh/1000)</f>
        <v>921.30499999999995</v>
      </c>
      <c r="C30" s="39">
        <f>IF(ISERROR(B30*3.6/1000000/'E Balans VL '!Z18*100),0,B30*3.6/1000000/'E Balans VL '!Z18*100)</f>
        <v>6.1331836445977547E-2</v>
      </c>
      <c r="D30" s="238" t="s">
        <v>720</v>
      </c>
    </row>
    <row r="31" spans="1:18">
      <c r="A31" s="6" t="s">
        <v>33</v>
      </c>
      <c r="B31" s="37">
        <f>IF( ISERROR(IND_ander_ele_kWh/1000),0,IND_ander_ele_kWh/1000)</f>
        <v>1612.0730000000001</v>
      </c>
      <c r="C31" s="39">
        <f>IF(ISERROR(B31*3.6/1000000/'E Balans VL '!Z19*100),0,B31*3.6/1000000/'E Balans VL '!Z19*100)</f>
        <v>7.1456807530379793E-2</v>
      </c>
      <c r="D31" s="238" t="s">
        <v>720</v>
      </c>
    </row>
    <row r="32" spans="1:18">
      <c r="A32" s="172" t="s">
        <v>41</v>
      </c>
      <c r="B32" s="37">
        <f>IF( ISERROR(IND_voed_ele_kWh/1000),0,IND_voed_ele_kWh/1000)</f>
        <v>309.36399999999998</v>
      </c>
      <c r="C32" s="39">
        <f>IF(ISERROR(B32*3.6/1000000/'E Balans VL '!Z20*100),0,B32*3.6/1000000/'E Balans VL '!Z20*100)</f>
        <v>1.0333645050457464E-2</v>
      </c>
      <c r="D32" s="238" t="s">
        <v>720</v>
      </c>
    </row>
    <row r="33" spans="1:5">
      <c r="A33" s="172" t="s">
        <v>40</v>
      </c>
      <c r="B33" s="37">
        <f>IF( ISERROR(IND_textiel_ele_kWh/1000),0,IND_textiel_ele_kWh/1000)</f>
        <v>0</v>
      </c>
      <c r="C33" s="39">
        <f>IF(ISERROR(B33*3.6/1000000/'E Balans VL '!Z21*100),0,B33*3.6/1000000/'E Balans VL '!Z21*100)</f>
        <v>0</v>
      </c>
      <c r="D33" s="238" t="s">
        <v>720</v>
      </c>
    </row>
    <row r="34" spans="1:5">
      <c r="A34" s="172" t="s">
        <v>37</v>
      </c>
      <c r="B34" s="37">
        <f>IF( ISERROR(IND_min_ele_kWh/1000),0,IND_min_ele_kWh/1000)</f>
        <v>0</v>
      </c>
      <c r="C34" s="39">
        <f>IF(ISERROR(B34*3.6/1000000/'E Balans VL '!Z22*100),0,B34*3.6/1000000/'E Balans VL '!Z22*100)</f>
        <v>0</v>
      </c>
      <c r="D34" s="238" t="s">
        <v>720</v>
      </c>
    </row>
    <row r="35" spans="1:5">
      <c r="A35" s="172" t="s">
        <v>39</v>
      </c>
      <c r="B35" s="37">
        <f>IF( ISERROR(IND_papier_ele_kWh/1000),0,IND_papier_ele_kWh/1000)</f>
        <v>0</v>
      </c>
      <c r="C35" s="39">
        <f>IF(ISERROR(B35*3.6/1000000/'E Balans VL '!Z22*100),0,B35*3.6/1000000/'E Balans VL '!Z22*100)</f>
        <v>0</v>
      </c>
      <c r="D35" s="238" t="s">
        <v>720</v>
      </c>
    </row>
    <row r="36" spans="1:5">
      <c r="A36" s="172" t="s">
        <v>34</v>
      </c>
      <c r="B36" s="37">
        <f>IF( ISERROR(IND_chemie_ele_kWh/1000),0,IND_chemie_ele_kWh/1000)</f>
        <v>0</v>
      </c>
      <c r="C36" s="39">
        <f>IF(ISERROR(B36*3.6/1000000/'E Balans VL '!Z24*100),0,B36*3.6/1000000/'E Balans VL '!Z24*100)</f>
        <v>0</v>
      </c>
      <c r="D36" s="238" t="s">
        <v>720</v>
      </c>
    </row>
    <row r="37" spans="1:5">
      <c r="A37" s="172" t="s">
        <v>271</v>
      </c>
      <c r="B37" s="37">
        <f>IF( ISERROR(IND_rest_ele_kWh/1000),0,IND_rest_ele_kWh/1000)</f>
        <v>79.727000000000004</v>
      </c>
      <c r="C37" s="39">
        <f>IF(ISERROR(B37*3.6/1000000/'E Balans VL '!Z15*100),0,B37*3.6/1000000/'E Balans VL '!Z15*100)</f>
        <v>5.9303899360661609E-4</v>
      </c>
      <c r="D37" s="238" t="s">
        <v>720</v>
      </c>
    </row>
    <row r="38" spans="1:5">
      <c r="A38" s="241"/>
      <c r="B38" s="181"/>
      <c r="C38" s="181"/>
      <c r="D38" s="242"/>
    </row>
    <row r="39" spans="1:5">
      <c r="A39" s="232"/>
      <c r="B39" s="32"/>
      <c r="C39" s="32"/>
      <c r="D39" s="32"/>
      <c r="E39" s="32"/>
    </row>
    <row r="40" spans="1:5">
      <c r="A40" s="194" t="s">
        <v>489</v>
      </c>
      <c r="B40" s="204"/>
      <c r="C40" s="204"/>
      <c r="D40" s="226"/>
    </row>
    <row r="41" spans="1:5">
      <c r="A41" s="237"/>
      <c r="B41" s="32"/>
      <c r="C41" s="32"/>
      <c r="D41" s="233"/>
    </row>
    <row r="42" spans="1:5">
      <c r="A42" s="243"/>
      <c r="B42" s="244"/>
      <c r="C42" s="225" t="s">
        <v>380</v>
      </c>
      <c r="D42" s="245" t="s">
        <v>183</v>
      </c>
    </row>
    <row r="43" spans="1:5">
      <c r="A43" s="172" t="s">
        <v>267</v>
      </c>
      <c r="B43" s="320">
        <f>aantalZB_NB_industrie+aantalZB_NB_industrie_met_kantoor</f>
        <v>0</v>
      </c>
      <c r="C43" s="43"/>
      <c r="D43" s="233"/>
    </row>
    <row r="44" spans="1:5">
      <c r="A44" s="172" t="s">
        <v>486</v>
      </c>
      <c r="B44" s="316">
        <v>4.2</v>
      </c>
      <c r="C44" s="43"/>
      <c r="D44" s="310" t="s">
        <v>520</v>
      </c>
    </row>
    <row r="45" spans="1:5">
      <c r="A45" s="6" t="s">
        <v>487</v>
      </c>
      <c r="B45" s="321">
        <f>1.34/3.6</f>
        <v>0.37222222222222223</v>
      </c>
      <c r="C45" s="43" t="s">
        <v>219</v>
      </c>
      <c r="D45" s="310" t="s">
        <v>520</v>
      </c>
    </row>
    <row r="46" spans="1:5" s="32" customFormat="1">
      <c r="A46" s="176"/>
      <c r="B46" s="247"/>
      <c r="C46" s="181"/>
      <c r="D46" s="242"/>
    </row>
    <row r="48" spans="1:5">
      <c r="A48" s="195" t="s">
        <v>490</v>
      </c>
      <c r="B48" s="204"/>
      <c r="C48" s="204"/>
      <c r="D48" s="226"/>
    </row>
    <row r="49" spans="1:4">
      <c r="A49" s="231"/>
      <c r="B49" s="32"/>
      <c r="C49" s="32"/>
      <c r="D49" s="233"/>
    </row>
    <row r="50" spans="1:4">
      <c r="A50" s="243"/>
      <c r="B50" s="244"/>
      <c r="C50" s="225" t="s">
        <v>380</v>
      </c>
      <c r="D50" s="245" t="s">
        <v>183</v>
      </c>
    </row>
    <row r="51" spans="1:4">
      <c r="A51" s="172" t="s">
        <v>267</v>
      </c>
      <c r="B51" s="320">
        <f>aantalWP_NB_industrie+AantalWP_NB_industrie_met_kantoor</f>
        <v>0</v>
      </c>
      <c r="C51" s="32"/>
      <c r="D51" s="233"/>
    </row>
    <row r="52" spans="1:4">
      <c r="A52" s="172" t="s">
        <v>263</v>
      </c>
      <c r="B52" s="316">
        <v>13</v>
      </c>
      <c r="C52" s="32" t="s">
        <v>264</v>
      </c>
      <c r="D52" s="310" t="s">
        <v>520</v>
      </c>
    </row>
    <row r="53" spans="1:4">
      <c r="A53" s="172" t="s">
        <v>265</v>
      </c>
      <c r="B53" s="316">
        <v>2000</v>
      </c>
      <c r="C53" s="32" t="s">
        <v>266</v>
      </c>
      <c r="D53" s="310" t="s">
        <v>520</v>
      </c>
    </row>
    <row r="54" spans="1:4">
      <c r="A54" s="172" t="s">
        <v>418</v>
      </c>
      <c r="B54" s="316">
        <v>3.75</v>
      </c>
      <c r="C54" s="32"/>
      <c r="D54" s="310" t="s">
        <v>520</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54" t="s">
        <v>272</v>
      </c>
      <c r="B1" s="1155" t="s">
        <v>196</v>
      </c>
      <c r="C1" s="1156"/>
      <c r="D1" s="1156"/>
      <c r="E1" s="1156"/>
      <c r="F1" s="1156"/>
      <c r="G1" s="1156"/>
      <c r="H1" s="1156"/>
      <c r="I1" s="1156"/>
      <c r="J1" s="1156"/>
      <c r="K1" s="1156"/>
      <c r="L1" s="1156"/>
      <c r="M1" s="1156"/>
      <c r="N1" s="1156"/>
      <c r="O1" s="1156"/>
      <c r="P1" s="1156"/>
    </row>
    <row r="2" spans="1:18" s="317" customFormat="1" ht="15.75" thickTop="1">
      <c r="A2" s="1154"/>
      <c r="B2" s="1157" t="s">
        <v>21</v>
      </c>
      <c r="C2" s="1157" t="s">
        <v>197</v>
      </c>
      <c r="D2" s="1159" t="s">
        <v>198</v>
      </c>
      <c r="E2" s="1160"/>
      <c r="F2" s="1160"/>
      <c r="G2" s="1160"/>
      <c r="H2" s="1160"/>
      <c r="I2" s="1160"/>
      <c r="J2" s="1160"/>
      <c r="K2" s="1161"/>
      <c r="L2" s="1159" t="s">
        <v>199</v>
      </c>
      <c r="M2" s="1160"/>
      <c r="N2" s="1160"/>
      <c r="O2" s="1160"/>
      <c r="P2" s="1161"/>
    </row>
    <row r="3" spans="1:18" s="317" customFormat="1" ht="45">
      <c r="A3" s="1154"/>
      <c r="B3" s="1158"/>
      <c r="C3" s="1158"/>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14"/>
      <c r="G4" s="14"/>
      <c r="H4" s="14"/>
      <c r="I4" s="14"/>
      <c r="J4" s="14"/>
      <c r="K4" s="14"/>
      <c r="L4" s="14"/>
      <c r="M4" s="14"/>
      <c r="N4" s="14"/>
      <c r="O4" s="14"/>
      <c r="P4" s="14"/>
      <c r="R4" s="6"/>
    </row>
    <row r="5" spans="1:18">
      <c r="A5" s="16" t="s">
        <v>273</v>
      </c>
      <c r="B5" s="30">
        <f>IF(ISERROR(SUM(LB_lb_ele_kWh,LB_rest_ele_kWh)/1000),0,SUM(LB_lb_ele_kWh,LB_rest_ele_kWh)/1000)</f>
        <v>464.58600000000001</v>
      </c>
      <c r="C5" s="17">
        <f>'Eigen informatie GS &amp; warmtenet'!B60</f>
        <v>0</v>
      </c>
      <c r="D5" s="30">
        <f>IF(ISERROR(SUM(LB_lb_gas_kWh,LB_rest_gas_kWh,onbekend_gas_kWh)/1000),0,SUM(LB_lb_gas_kWh,LB_rest_gas_kWh,onbekend_gas_kWh)/1000)*0.902</f>
        <v>49.585645999999997</v>
      </c>
      <c r="E5" s="17">
        <f>B17*'E Balans VL '!I25/3.6*1000000/100</f>
        <v>4.8652451707674214</v>
      </c>
      <c r="F5" s="17">
        <f>B17*('E Balans VL '!L25/3.6*1000000+'E Balans VL '!N25/3.6*1000000)/100</f>
        <v>2386.1876693655422</v>
      </c>
      <c r="G5" s="18"/>
      <c r="H5" s="17"/>
      <c r="I5" s="17"/>
      <c r="J5" s="17">
        <f>('E Balans VL '!D25+'E Balans VL '!E25)/3.6*1000000*landbouw!B17/100</f>
        <v>41.491693955357078</v>
      </c>
      <c r="K5" s="17"/>
      <c r="L5" s="17">
        <f>L6*(-1)</f>
        <v>0</v>
      </c>
      <c r="M5" s="17"/>
      <c r="N5" s="17">
        <f>N6*(-1)</f>
        <v>0</v>
      </c>
      <c r="O5" s="17"/>
      <c r="P5" s="17"/>
      <c r="R5" s="32"/>
    </row>
    <row r="6" spans="1:18">
      <c r="A6" s="16" t="s">
        <v>497</v>
      </c>
      <c r="B6" s="17" t="s">
        <v>212</v>
      </c>
      <c r="C6" s="17">
        <f>'lokale energieproductie'!O91+'lokale energieproductie'!O60</f>
        <v>0</v>
      </c>
      <c r="D6" s="311">
        <f>('lokale energieproductie'!P60+'lokale energieproductie'!P91)*(-1)</f>
        <v>0</v>
      </c>
      <c r="E6" s="249"/>
      <c r="F6" s="311">
        <f>('lokale energieproductie'!S60+'lokale energieproductie'!S91)*(-1)</f>
        <v>0</v>
      </c>
      <c r="G6" s="250"/>
      <c r="H6" s="249"/>
      <c r="I6" s="249"/>
      <c r="J6" s="249"/>
      <c r="K6" s="249"/>
      <c r="L6" s="311">
        <f>('lokale energieproductie'!T60+'lokale energieproductie'!U60+'lokale energieproductie'!T91+'lokale energieproductie'!U91)*(-1)</f>
        <v>0</v>
      </c>
      <c r="M6" s="249"/>
      <c r="N6" s="311">
        <f>('lokale energieproductie'!V60+'lokale energieproductie'!R60+'lokale energieproductie'!Q60+'lokale energieproductie'!Q91+'lokale energieproductie'!R91+'lokale energieproductie'!V91)*(-1)</f>
        <v>0</v>
      </c>
      <c r="O6" s="249"/>
      <c r="P6" s="249"/>
      <c r="R6" s="32"/>
    </row>
    <row r="7" spans="1:18">
      <c r="A7" s="32"/>
      <c r="B7" s="29"/>
      <c r="C7" s="29"/>
      <c r="D7" s="251"/>
      <c r="E7" s="29"/>
      <c r="F7" s="29"/>
      <c r="G7" s="28"/>
      <c r="H7" s="29"/>
      <c r="I7" s="29"/>
      <c r="J7" s="29"/>
      <c r="K7" s="29"/>
      <c r="L7" s="29"/>
      <c r="M7" s="29"/>
      <c r="N7" s="29"/>
      <c r="O7" s="29"/>
      <c r="P7" s="29"/>
      <c r="R7" s="32"/>
    </row>
    <row r="8" spans="1:18">
      <c r="A8" s="20" t="s">
        <v>274</v>
      </c>
      <c r="B8" s="21">
        <f>B5</f>
        <v>464.58600000000001</v>
      </c>
      <c r="C8" s="21">
        <f>C5+C6</f>
        <v>0</v>
      </c>
      <c r="D8" s="21">
        <f>MAX((D5+D6),0)</f>
        <v>49.585645999999997</v>
      </c>
      <c r="E8" s="21">
        <f>MAX((E5+E6),0)</f>
        <v>4.8652451707674214</v>
      </c>
      <c r="F8" s="21">
        <f>MAX((F5+F6),0)</f>
        <v>2386.1876693655422</v>
      </c>
      <c r="G8" s="21"/>
      <c r="H8" s="21"/>
      <c r="I8" s="21"/>
      <c r="J8" s="21">
        <f>MAX((J5+J6),0)</f>
        <v>41.491693955357078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215</v>
      </c>
      <c r="B10" s="31">
        <f ca="1">'EF ele_warmte'!B12</f>
        <v>0.20522445332795367</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214</v>
      </c>
      <c r="B12" s="23">
        <f ca="1">B8*B10</f>
        <v>95.344407873820685</v>
      </c>
      <c r="C12" s="23">
        <f ca="1">C8*C10</f>
        <v>0</v>
      </c>
      <c r="D12" s="23">
        <f>D8*D10</f>
        <v>10.016300491999999</v>
      </c>
      <c r="E12" s="23">
        <f>E8*E10</f>
        <v>1.1044106537642047</v>
      </c>
      <c r="F12" s="23">
        <f>F8*F10</f>
        <v>637.11210772059985</v>
      </c>
      <c r="G12" s="23"/>
      <c r="H12" s="23"/>
      <c r="I12" s="23"/>
      <c r="J12" s="23">
        <f>J8*J10</f>
        <v>14.688059660196405</v>
      </c>
      <c r="K12" s="23"/>
      <c r="L12" s="23">
        <f>L8*L10</f>
        <v>0</v>
      </c>
      <c r="M12" s="23">
        <f>M8*M10</f>
        <v>0</v>
      </c>
      <c r="N12" s="23">
        <f>N8*N10</f>
        <v>0</v>
      </c>
      <c r="O12" s="23"/>
      <c r="P12" s="23"/>
    </row>
    <row r="14" spans="1:18">
      <c r="A14" s="194" t="s">
        <v>503</v>
      </c>
      <c r="B14" s="204"/>
      <c r="C14" s="226"/>
    </row>
    <row r="15" spans="1:18">
      <c r="A15" s="237"/>
      <c r="B15" s="32"/>
      <c r="C15" s="238"/>
    </row>
    <row r="16" spans="1:18">
      <c r="A16" s="256"/>
      <c r="B16" s="42" t="s">
        <v>293</v>
      </c>
      <c r="C16" s="240" t="s">
        <v>183</v>
      </c>
    </row>
    <row r="17" spans="1:4">
      <c r="A17" s="257" t="s">
        <v>112</v>
      </c>
      <c r="B17" s="255">
        <f>IF(ISERROR(SUM(LB_lb_ele_kWh,LB_rest_ele_kWh)*3.6/1000000000/'E Balans VL '!Z26*100),0,SUM(LB_lb_ele_kWh,LB_rest_ele_kWh)*3.6/1000000000/'E Balans VL '!Z26*100)</f>
        <v>7.1508753567103275E-2</v>
      </c>
      <c r="C17" s="238" t="s">
        <v>720</v>
      </c>
      <c r="D17" s="253"/>
    </row>
    <row r="18" spans="1:4">
      <c r="A18" s="241"/>
      <c r="B18" s="254"/>
      <c r="C18" s="242"/>
    </row>
    <row r="19" spans="1:4">
      <c r="A19" s="32"/>
      <c r="B19" s="48"/>
      <c r="C19" s="32"/>
    </row>
    <row r="20" spans="1:4">
      <c r="A20" s="32"/>
      <c r="B20" s="48"/>
      <c r="C20" s="32"/>
    </row>
    <row r="21" spans="1:4" ht="15.75" thickBot="1">
      <c r="B21" s="32"/>
    </row>
    <row r="22" spans="1:4" ht="15.75" customHeight="1">
      <c r="A22" s="1162" t="s">
        <v>304</v>
      </c>
      <c r="B22" s="1165" t="s">
        <v>305</v>
      </c>
      <c r="C22" s="1165" t="s">
        <v>502</v>
      </c>
    </row>
    <row r="23" spans="1:4">
      <c r="A23" s="1163"/>
      <c r="B23" s="1166"/>
      <c r="C23" s="1166"/>
    </row>
    <row r="24" spans="1:4" ht="15.75" thickBot="1">
      <c r="A24" s="1164"/>
      <c r="B24" s="1167"/>
      <c r="C24" s="1167"/>
    </row>
    <row r="25" spans="1:4" ht="15.75">
      <c r="A25" s="13"/>
      <c r="B25" s="32"/>
    </row>
    <row r="26" spans="1:4">
      <c r="A26" s="41" t="s">
        <v>275</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74.605296620447092</v>
      </c>
      <c r="C26" s="248">
        <f>B26*'GWP N2O_CH4'!B5</f>
        <v>1566.711229029389</v>
      </c>
      <c r="D26" s="50"/>
    </row>
    <row r="27" spans="1:4">
      <c r="A27" s="41" t="s">
        <v>276</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30.599818299016576</v>
      </c>
      <c r="C27" s="248">
        <f>B27*'GWP N2O_CH4'!B5</f>
        <v>642.59618427934811</v>
      </c>
      <c r="D27" s="50"/>
    </row>
    <row r="28" spans="1:4">
      <c r="A28" s="41" t="s">
        <v>277</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1.3450305793869823</v>
      </c>
      <c r="C28" s="248">
        <f>B28*'GWP N2O_CH4'!B4</f>
        <v>416.95947960996455</v>
      </c>
      <c r="D28" s="50"/>
    </row>
    <row r="29" spans="1:4">
      <c r="A29" s="41" t="s">
        <v>278</v>
      </c>
      <c r="B29" s="248">
        <f>B34*'ha_N2O bodem landbouw'!B4</f>
        <v>16.680553626209576</v>
      </c>
      <c r="C29" s="248">
        <f>B29*'GWP N2O_CH4'!B4</f>
        <v>5170.9716241249689</v>
      </c>
      <c r="D29" s="50"/>
    </row>
    <row r="31" spans="1:4">
      <c r="A31" s="194" t="s">
        <v>504</v>
      </c>
      <c r="B31" s="204"/>
      <c r="C31" s="226"/>
    </row>
    <row r="32" spans="1:4">
      <c r="A32" s="237"/>
      <c r="B32" s="32"/>
      <c r="C32" s="238"/>
    </row>
    <row r="33" spans="1:5">
      <c r="A33" s="239"/>
      <c r="B33" s="225" t="s">
        <v>637</v>
      </c>
      <c r="C33" s="240" t="s">
        <v>183</v>
      </c>
    </row>
    <row r="34" spans="1:5">
      <c r="A34" s="258" t="s">
        <v>112</v>
      </c>
      <c r="B34" s="35">
        <f>IF(ISERROR(aantalCultuurgronden/'ha_N2O bodem landbouw'!B5),0,aantalCultuurgronden/'ha_N2O bodem landbouw'!B5)</f>
        <v>2.7566805640638287E-3</v>
      </c>
      <c r="C34" s="259" t="s">
        <v>636</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54" t="s">
        <v>506</v>
      </c>
      <c r="B1" s="1155" t="s">
        <v>559</v>
      </c>
      <c r="C1" s="1156"/>
      <c r="D1" s="1156"/>
      <c r="E1" s="1156"/>
      <c r="F1" s="1156"/>
      <c r="G1" s="1156"/>
      <c r="H1" s="1156"/>
      <c r="I1" s="1156"/>
      <c r="J1" s="1156"/>
      <c r="K1" s="1156"/>
      <c r="L1" s="1156"/>
      <c r="M1" s="1156"/>
      <c r="N1" s="1156"/>
      <c r="O1" s="1156"/>
      <c r="P1" s="1156"/>
    </row>
    <row r="2" spans="1:18" s="317" customFormat="1" ht="15.75" thickTop="1">
      <c r="A2" s="1154"/>
      <c r="B2" s="1157" t="s">
        <v>21</v>
      </c>
      <c r="C2" s="1157" t="s">
        <v>197</v>
      </c>
      <c r="D2" s="1159" t="s">
        <v>198</v>
      </c>
      <c r="E2" s="1160"/>
      <c r="F2" s="1160"/>
      <c r="G2" s="1160"/>
      <c r="H2" s="1160"/>
      <c r="I2" s="1160"/>
      <c r="J2" s="1160"/>
      <c r="K2" s="1161"/>
      <c r="L2" s="1159" t="s">
        <v>199</v>
      </c>
      <c r="M2" s="1160"/>
      <c r="N2" s="1160"/>
      <c r="O2" s="1160"/>
      <c r="P2" s="1161"/>
    </row>
    <row r="3" spans="1:18" s="317" customFormat="1" ht="45">
      <c r="A3" s="1154"/>
      <c r="B3" s="1158"/>
      <c r="C3" s="1158"/>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c r="C4" s="15"/>
    </row>
    <row r="5" spans="1:18" s="8" customFormat="1">
      <c r="A5" s="288" t="s">
        <v>330</v>
      </c>
      <c r="B5" s="431">
        <f>SUM(B6:B11)</f>
        <v>3.7370279012105197E-6</v>
      </c>
      <c r="C5" s="446" t="s">
        <v>212</v>
      </c>
      <c r="D5" s="431">
        <f>SUM(D6:D11)</f>
        <v>1.7018645524461787E-5</v>
      </c>
      <c r="E5" s="431">
        <f>SUM(E6:E11)</f>
        <v>1.7521159157922533E-3</v>
      </c>
      <c r="F5" s="444" t="s">
        <v>212</v>
      </c>
      <c r="G5" s="431">
        <f>SUM(G6:G11)</f>
        <v>0.3234450369767029</v>
      </c>
      <c r="H5" s="431">
        <f>SUM(H6:H11)</f>
        <v>5.7065120387668596E-2</v>
      </c>
      <c r="I5" s="446" t="s">
        <v>212</v>
      </c>
      <c r="J5" s="446" t="s">
        <v>212</v>
      </c>
      <c r="K5" s="446" t="s">
        <v>212</v>
      </c>
      <c r="L5" s="446" t="s">
        <v>212</v>
      </c>
      <c r="M5" s="431">
        <f>SUM(M6:M11)</f>
        <v>1.6607222782279149E-2</v>
      </c>
      <c r="N5" s="446" t="s">
        <v>212</v>
      </c>
      <c r="O5" s="446" t="s">
        <v>212</v>
      </c>
      <c r="P5" s="447" t="s">
        <v>212</v>
      </c>
    </row>
    <row r="6" spans="1:18">
      <c r="A6" s="263" t="s">
        <v>774</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3.4715395041914471E-6</v>
      </c>
      <c r="C6" s="432"/>
      <c r="D6" s="432">
        <f>vkm_2011_GW_PW*SUMIFS(TableVerdeelsleutelVkm[CNG],TableVerdeelsleutelVkm[Voertuigtype],"Lichte voertuigen")*SUMIFS(TableECFTransport[EnergieConsumptieFactor (PJ per km)],TableECFTransport[Index],CONCATENATE($A6,"_CNG_CNG"))</f>
        <v>1.4965403271262902E-5</v>
      </c>
      <c r="E6" s="434">
        <f>vkm_2011_GW_PW*SUMIFS(TableVerdeelsleutelVkm[LPG],TableVerdeelsleutelVkm[Voertuigtype],"Lichte voertuigen")*SUMIFS(TableECFTransport[EnergieConsumptieFactor (PJ per km)],TableECFTransport[Index],CONCATENATE($A6,"_LPG_LPG"))</f>
        <v>1.5570583845876832E-3</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0.1915224558637933</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5.0423893705239677E-2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1.060324897336609E-2</v>
      </c>
      <c r="N6" s="432"/>
      <c r="O6" s="432"/>
      <c r="P6" s="433"/>
    </row>
    <row r="7" spans="1:18">
      <c r="A7" s="263" t="s">
        <v>776</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0.10865254897165848</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3.7255453373684015E-5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4.6935865360017461E-3</v>
      </c>
      <c r="N7" s="432"/>
      <c r="O7" s="432"/>
      <c r="P7" s="433"/>
    </row>
    <row r="8" spans="1:18">
      <c r="A8" s="263" t="s">
        <v>777</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2.6548839701907268E-7</v>
      </c>
      <c r="C8" s="432"/>
      <c r="D8" s="434">
        <f>vkm_2011_NGW_PW*SUMIFS(TableVerdeelsleutelVkm[CNG],TableVerdeelsleutelVkm[Voertuigtype],"Lichte voertuigen")*SUMIFS(TableECFTransport[EnergieConsumptieFactor (PJ per km)],TableECFTransport[Index],CONCATENATE($A8,"_CNG_CNG"))</f>
        <v>2.053242253198885E-6</v>
      </c>
      <c r="E8" s="434">
        <f>vkm_2011_NGW_PW*SUMIFS(TableVerdeelsleutelVkm[LPG],TableVerdeelsleutelVkm[Voertuigtype],"Lichte voertuigen")*SUMIFS(TableECFTransport[EnergieConsumptieFactor (PJ per km)],TableECFTransport[Index],CONCATENATE($A8,"_LPG_LPG"))</f>
        <v>1.9505753120457005E-4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2.2756446014909271E-2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6.6038182452406568E-3</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1.2882023840962967E-3</v>
      </c>
      <c r="N8" s="432"/>
      <c r="O8" s="432"/>
      <c r="P8" s="433"/>
    </row>
    <row r="9" spans="1:18">
      <c r="A9" s="263" t="s">
        <v>778</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5.1358612634183642E-4</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1.5298381457557832E-7</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2.2184888815016137E-5</v>
      </c>
      <c r="N9" s="432"/>
      <c r="O9" s="432"/>
      <c r="P9" s="433"/>
    </row>
    <row r="10" spans="1:18">
      <c r="A10" s="263" t="s">
        <v>779</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2"/>
      <c r="D10" s="434">
        <f>vkm_2011_SW_PW*SUMIFS(TableVerdeelsleutelVkm[CNG],TableVerdeelsleutelVkm[Voertuigtype],"Lichte voertuigen")*SUMIFS(TableECFTransport[EnergieConsumptieFactor (PJ per km)],TableECFTransport[Index],CONCATENATE($A10,"_CNG_CNG"))</f>
        <v>0</v>
      </c>
      <c r="E10" s="434">
        <f>vkm_2011_SW_PW*SUMIFS(TableVerdeelsleutelVkm[LPG],TableVerdeelsleutelVkm[Voertuigtype],"Lichte voertuigen")*SUMIFS(TableECFTransport[EnergieConsumptieFactor (PJ per km)],TableECFTransport[Index],CONCATENATE($A10,"_LPG_LPG"))</f>
        <v>0</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2"/>
      <c r="O10" s="432"/>
      <c r="P10" s="433"/>
    </row>
    <row r="11" spans="1:18">
      <c r="A11" s="4" t="s">
        <v>780</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5"/>
      <c r="O11" s="435"/>
      <c r="P11" s="437"/>
    </row>
    <row r="12" spans="1:18">
      <c r="A12" s="332" t="s">
        <v>557</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339</v>
      </c>
      <c r="B14" s="21">
        <f>((B5)*10^9/3600)+B12</f>
        <v>1.038063305891811</v>
      </c>
      <c r="C14" s="21"/>
      <c r="D14" s="21">
        <f t="shared" ref="D14:M14" si="0">((D5)*10^9/3600)+D12</f>
        <v>4.7274015345727181</v>
      </c>
      <c r="E14" s="21">
        <f t="shared" si="0"/>
        <v>486.69886549784815</v>
      </c>
      <c r="F14" s="21"/>
      <c r="G14" s="21">
        <f t="shared" si="0"/>
        <v>89845.843604639696</v>
      </c>
      <c r="H14" s="21">
        <f t="shared" si="0"/>
        <v>15851.422329907942</v>
      </c>
      <c r="I14" s="21"/>
      <c r="J14" s="21"/>
      <c r="K14" s="21"/>
      <c r="L14" s="21"/>
      <c r="M14" s="21">
        <f t="shared" si="0"/>
        <v>4613.1174395219859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215</v>
      </c>
      <c r="B16" s="56">
        <f ca="1">'EF ele_warmte'!B12</f>
        <v>0.20522445332795367</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341</v>
      </c>
      <c r="B18" s="23">
        <f ca="1">B14*B16</f>
        <v>0.21303597447145525</v>
      </c>
      <c r="C18" s="23"/>
      <c r="D18" s="23">
        <f t="shared" ref="D18:M18" si="1">D14*D16</f>
        <v>0.95493510998368913</v>
      </c>
      <c r="E18" s="23">
        <f t="shared" si="1"/>
        <v>110.48064246801154</v>
      </c>
      <c r="F18" s="23"/>
      <c r="G18" s="23">
        <f t="shared" si="1"/>
        <v>23988.8402424388</v>
      </c>
      <c r="H18" s="23">
        <f t="shared" si="1"/>
        <v>3947.0041601470775</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821"/>
    </row>
    <row r="21" spans="1:18">
      <c r="A21" s="961" t="s">
        <v>508</v>
      </c>
      <c r="B21" s="962"/>
      <c r="C21" s="963"/>
      <c r="D21" s="963"/>
      <c r="E21" s="963"/>
      <c r="F21" s="963"/>
      <c r="G21" s="963"/>
      <c r="H21" s="963"/>
      <c r="I21" s="963"/>
      <c r="J21" s="963"/>
      <c r="K21" s="963"/>
      <c r="L21" s="963"/>
      <c r="M21" s="963"/>
      <c r="N21" s="964"/>
    </row>
    <row r="22" spans="1:18">
      <c r="A22" s="261"/>
      <c r="B22" s="262"/>
      <c r="C22" s="43"/>
      <c r="D22" s="43"/>
      <c r="E22" s="43"/>
      <c r="F22" s="43"/>
      <c r="G22" s="43"/>
      <c r="H22" s="43"/>
      <c r="I22" s="43"/>
      <c r="J22" s="43"/>
      <c r="K22" s="43"/>
      <c r="L22" s="43"/>
      <c r="M22" s="43"/>
      <c r="N22" s="175"/>
    </row>
    <row r="23" spans="1:18">
      <c r="A23" s="268" t="s">
        <v>309</v>
      </c>
      <c r="B23" s="965" t="s">
        <v>310</v>
      </c>
      <c r="C23" s="965" t="s">
        <v>784</v>
      </c>
      <c r="D23" s="965" t="s">
        <v>785</v>
      </c>
      <c r="E23" s="965" t="s">
        <v>786</v>
      </c>
      <c r="F23" s="965" t="s">
        <v>731</v>
      </c>
      <c r="G23" s="965" t="s">
        <v>787</v>
      </c>
      <c r="H23" s="965" t="s">
        <v>788</v>
      </c>
      <c r="I23" s="965" t="s">
        <v>119</v>
      </c>
      <c r="J23" s="965" t="s">
        <v>789</v>
      </c>
      <c r="K23" s="965" t="s">
        <v>790</v>
      </c>
      <c r="L23" s="966" t="s">
        <v>791</v>
      </c>
      <c r="M23" s="129" t="s">
        <v>183</v>
      </c>
      <c r="N23" s="269" t="s">
        <v>317</v>
      </c>
    </row>
    <row r="24" spans="1:18" ht="17.45" customHeight="1">
      <c r="A24" s="32" t="s">
        <v>773</v>
      </c>
      <c r="B24" s="967">
        <v>5.0515510799753067E-5</v>
      </c>
      <c r="C24" s="967">
        <v>0.79001777373794491</v>
      </c>
      <c r="D24" s="968"/>
      <c r="E24" s="967"/>
      <c r="F24" s="967">
        <v>1.0399544408723517E-5</v>
      </c>
      <c r="G24" s="967">
        <v>3.3814708165941854E-5</v>
      </c>
      <c r="H24" s="968"/>
      <c r="I24" s="968">
        <v>5.9835038436344473E-3</v>
      </c>
      <c r="J24" s="968">
        <v>0.20260062059370881</v>
      </c>
      <c r="K24" s="968">
        <v>1.3371867695033718E-3</v>
      </c>
      <c r="M24" s="270" t="s">
        <v>796</v>
      </c>
      <c r="N24" s="271">
        <f>SUM(B24:K24)</f>
        <v>1.000033814708166</v>
      </c>
    </row>
    <row r="25" spans="1:18">
      <c r="A25" s="32" t="s">
        <v>775</v>
      </c>
      <c r="B25" s="968"/>
      <c r="C25" s="967">
        <v>0.99947168699332112</v>
      </c>
      <c r="D25" s="968"/>
      <c r="E25" s="968"/>
      <c r="F25" s="967"/>
      <c r="G25" s="968"/>
      <c r="H25" s="968"/>
      <c r="I25" s="968"/>
      <c r="J25" s="968">
        <v>5.2831300667896281E-4</v>
      </c>
      <c r="K25" s="968"/>
      <c r="M25" s="270" t="s">
        <v>796</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509</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203</v>
      </c>
      <c r="B30" s="275" t="s">
        <v>319</v>
      </c>
      <c r="C30" s="946">
        <v>2011</v>
      </c>
      <c r="D30" s="275" t="s">
        <v>320</v>
      </c>
      <c r="E30" s="244" t="s">
        <v>183</v>
      </c>
      <c r="F30" s="272"/>
      <c r="G30" s="244"/>
      <c r="H30" s="244"/>
      <c r="I30" s="244"/>
      <c r="J30" s="244"/>
      <c r="K30" s="244"/>
      <c r="L30" s="273"/>
    </row>
    <row r="31" spans="1:18">
      <c r="A31" s="276" t="s">
        <v>321</v>
      </c>
      <c r="B31" s="277"/>
      <c r="C31" s="278"/>
      <c r="D31" s="277">
        <v>4.2694999999999997E-2</v>
      </c>
      <c r="E31" s="958" t="s">
        <v>827</v>
      </c>
      <c r="F31" s="53"/>
      <c r="G31" s="43"/>
      <c r="H31" s="43"/>
      <c r="I31" s="43"/>
      <c r="J31" s="43"/>
      <c r="K31" s="43"/>
      <c r="L31" s="175"/>
    </row>
    <row r="32" spans="1:18">
      <c r="A32" s="279" t="s">
        <v>322</v>
      </c>
      <c r="B32" s="280"/>
      <c r="C32" s="281"/>
      <c r="D32" s="280">
        <v>3.73E-2</v>
      </c>
      <c r="E32" s="958" t="s">
        <v>827</v>
      </c>
      <c r="F32" s="53"/>
      <c r="G32" s="43"/>
      <c r="H32" s="43"/>
      <c r="I32" s="43"/>
      <c r="J32" s="43"/>
      <c r="K32" s="43"/>
      <c r="L32" s="175"/>
    </row>
    <row r="33" spans="1:16">
      <c r="A33" s="279" t="s">
        <v>323</v>
      </c>
      <c r="B33" s="282"/>
      <c r="C33" s="283"/>
      <c r="D33" s="58"/>
      <c r="E33" s="959"/>
      <c r="F33" s="53"/>
      <c r="G33" s="43"/>
      <c r="H33" s="43"/>
      <c r="I33" s="43"/>
      <c r="J33" s="43"/>
      <c r="K33" s="43"/>
      <c r="L33" s="175"/>
    </row>
    <row r="34" spans="1:16">
      <c r="A34" s="279" t="s">
        <v>324</v>
      </c>
      <c r="B34" s="282"/>
      <c r="C34" s="284">
        <v>4.7100000000000003E-2</v>
      </c>
      <c r="D34" s="58"/>
      <c r="E34" s="958" t="s">
        <v>795</v>
      </c>
      <c r="F34" s="53"/>
      <c r="G34" s="43"/>
      <c r="H34" s="43"/>
      <c r="I34" s="43"/>
      <c r="J34" s="43"/>
      <c r="K34" s="43"/>
      <c r="L34" s="175"/>
    </row>
    <row r="35" spans="1:16">
      <c r="A35" s="279" t="s">
        <v>325</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319</v>
      </c>
      <c r="C37" s="946">
        <v>2011</v>
      </c>
      <c r="D37" s="275" t="s">
        <v>320</v>
      </c>
      <c r="E37" s="960" t="s">
        <v>183</v>
      </c>
      <c r="F37" s="287"/>
      <c r="G37" s="268"/>
      <c r="H37" s="268"/>
      <c r="I37" s="268"/>
      <c r="J37" s="268"/>
      <c r="K37" s="268"/>
      <c r="L37" s="269"/>
    </row>
    <row r="38" spans="1:16">
      <c r="A38" s="279" t="s">
        <v>326</v>
      </c>
      <c r="B38" s="280"/>
      <c r="C38" s="281"/>
      <c r="D38" s="280">
        <v>4.3774E-2</v>
      </c>
      <c r="E38" s="958" t="s">
        <v>827</v>
      </c>
      <c r="F38" s="283"/>
      <c r="G38" s="58"/>
      <c r="H38" s="58"/>
      <c r="I38" s="58"/>
      <c r="J38" s="58"/>
      <c r="K38" s="58"/>
      <c r="L38" s="285"/>
    </row>
    <row r="39" spans="1:16">
      <c r="A39" s="279" t="s">
        <v>327</v>
      </c>
      <c r="B39" s="280"/>
      <c r="C39" s="281"/>
      <c r="D39" s="280">
        <v>2.8799999999999999E-2</v>
      </c>
      <c r="E39" s="958" t="s">
        <v>827</v>
      </c>
      <c r="F39" s="283"/>
      <c r="G39" s="58"/>
      <c r="H39" s="58"/>
      <c r="I39" s="58"/>
      <c r="J39" s="58"/>
      <c r="K39" s="58"/>
      <c r="L39" s="285"/>
    </row>
    <row r="40" spans="1:16">
      <c r="A40" s="279" t="s">
        <v>323</v>
      </c>
      <c r="B40" s="282"/>
      <c r="C40" s="283"/>
      <c r="D40" s="283"/>
      <c r="E40" s="958"/>
      <c r="F40" s="58"/>
      <c r="G40" s="58"/>
      <c r="H40" s="58"/>
      <c r="I40" s="58"/>
      <c r="J40" s="58"/>
      <c r="K40" s="58"/>
      <c r="L40" s="285"/>
    </row>
    <row r="41" spans="1:16">
      <c r="A41" s="279" t="s">
        <v>328</v>
      </c>
      <c r="B41" s="282"/>
      <c r="C41" s="284">
        <v>6.5699999999999995E-2</v>
      </c>
      <c r="D41" s="283"/>
      <c r="E41" s="958" t="s">
        <v>795</v>
      </c>
      <c r="F41" s="58"/>
      <c r="G41" s="58"/>
      <c r="H41" s="58"/>
      <c r="I41" s="58"/>
      <c r="J41" s="58"/>
      <c r="K41" s="58"/>
      <c r="L41" s="285"/>
    </row>
    <row r="42" spans="1:16">
      <c r="A42" s="279" t="s">
        <v>325</v>
      </c>
      <c r="B42" s="282"/>
      <c r="C42" s="284">
        <f>1/(1+((1/C41-1)*($D$38/$D$39)))</f>
        <v>4.4219462339517193E-2</v>
      </c>
      <c r="D42" s="283"/>
      <c r="E42" s="156"/>
      <c r="F42" s="58"/>
      <c r="G42" s="286"/>
      <c r="H42" s="58"/>
      <c r="I42" s="58"/>
      <c r="J42" s="58"/>
      <c r="K42" s="58"/>
      <c r="L42" s="285"/>
    </row>
    <row r="43" spans="1:16">
      <c r="A43" s="4"/>
      <c r="B43" s="179"/>
      <c r="C43" s="945"/>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68" t="s">
        <v>507</v>
      </c>
      <c r="B46" s="1169" t="s">
        <v>558</v>
      </c>
      <c r="C46" s="1170"/>
      <c r="D46" s="1170"/>
      <c r="E46" s="1170"/>
      <c r="F46" s="1170"/>
      <c r="G46" s="1170"/>
      <c r="H46" s="1170"/>
      <c r="I46" s="1170"/>
      <c r="J46" s="1170"/>
      <c r="K46" s="1170"/>
      <c r="L46" s="1170"/>
      <c r="M46" s="1170"/>
      <c r="N46" s="1170"/>
      <c r="O46" s="1170"/>
      <c r="P46" s="1170"/>
    </row>
    <row r="47" spans="1:16" s="15" customFormat="1" ht="15.75" thickTop="1">
      <c r="A47" s="1168"/>
      <c r="B47" s="1171" t="s">
        <v>21</v>
      </c>
      <c r="C47" s="1171" t="s">
        <v>197</v>
      </c>
      <c r="D47" s="1173" t="s">
        <v>198</v>
      </c>
      <c r="E47" s="1174"/>
      <c r="F47" s="1174"/>
      <c r="G47" s="1174"/>
      <c r="H47" s="1174"/>
      <c r="I47" s="1174"/>
      <c r="J47" s="1174"/>
      <c r="K47" s="1175"/>
      <c r="L47" s="1173" t="s">
        <v>199</v>
      </c>
      <c r="M47" s="1174"/>
      <c r="N47" s="1174"/>
      <c r="O47" s="1174"/>
      <c r="P47" s="1175"/>
    </row>
    <row r="48" spans="1:16" s="15" customFormat="1" ht="45">
      <c r="A48" s="1168"/>
      <c r="B48" s="1172"/>
      <c r="C48" s="1172"/>
      <c r="D48" s="12" t="s">
        <v>200</v>
      </c>
      <c r="E48" s="12" t="s">
        <v>201</v>
      </c>
      <c r="F48" s="12" t="s">
        <v>202</v>
      </c>
      <c r="G48" s="12" t="s">
        <v>203</v>
      </c>
      <c r="H48" s="12" t="s">
        <v>120</v>
      </c>
      <c r="I48" s="12" t="s">
        <v>204</v>
      </c>
      <c r="J48" s="12" t="s">
        <v>205</v>
      </c>
      <c r="K48" s="12" t="s">
        <v>206</v>
      </c>
      <c r="L48" s="12" t="s">
        <v>207</v>
      </c>
      <c r="M48" s="12" t="s">
        <v>208</v>
      </c>
      <c r="N48" s="12" t="s">
        <v>209</v>
      </c>
      <c r="O48" s="12" t="s">
        <v>210</v>
      </c>
      <c r="P48" s="12" t="s">
        <v>211</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333</v>
      </c>
      <c r="B50" s="322">
        <f>SUM(B51:B52)</f>
        <v>0</v>
      </c>
      <c r="C50" s="322">
        <f t="shared" ref="C50:P50" si="2">SUM(C51:C52)</f>
        <v>0</v>
      </c>
      <c r="D50" s="322">
        <f t="shared" si="2"/>
        <v>0</v>
      </c>
      <c r="E50" s="322">
        <f t="shared" si="2"/>
        <v>0</v>
      </c>
      <c r="F50" s="322">
        <f t="shared" si="2"/>
        <v>0</v>
      </c>
      <c r="G50" s="322">
        <f t="shared" si="2"/>
        <v>8.4506813198555238E-3</v>
      </c>
      <c r="H50" s="322">
        <f t="shared" si="2"/>
        <v>0</v>
      </c>
      <c r="I50" s="322">
        <f t="shared" si="2"/>
        <v>0</v>
      </c>
      <c r="J50" s="322">
        <f t="shared" si="2"/>
        <v>0</v>
      </c>
      <c r="K50" s="322">
        <f t="shared" si="2"/>
        <v>0</v>
      </c>
      <c r="L50" s="322">
        <f t="shared" si="2"/>
        <v>0</v>
      </c>
      <c r="M50" s="322">
        <f t="shared" si="2"/>
        <v>3.6021583087847338E-4</v>
      </c>
      <c r="N50" s="322">
        <f t="shared" si="2"/>
        <v>0</v>
      </c>
      <c r="O50" s="322">
        <f t="shared" si="2"/>
        <v>0</v>
      </c>
      <c r="P50" s="323">
        <f t="shared" si="2"/>
        <v>0</v>
      </c>
    </row>
    <row r="51" spans="1:18">
      <c r="A51" s="263" t="s">
        <v>332</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8.4506813198555238E-3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3.6021583087847338E-4</v>
      </c>
      <c r="N51" s="324"/>
      <c r="O51" s="324"/>
      <c r="P51" s="327"/>
    </row>
    <row r="52" spans="1:18">
      <c r="A52" s="4" t="s">
        <v>331</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340</v>
      </c>
      <c r="B54" s="21">
        <f>(B50)*10^9/3600</f>
        <v>0</v>
      </c>
      <c r="C54" s="21">
        <f t="shared" ref="C54:P54" si="3">(C50)*10^9/3600</f>
        <v>0</v>
      </c>
      <c r="D54" s="21">
        <f t="shared" si="3"/>
        <v>0</v>
      </c>
      <c r="E54" s="21">
        <f t="shared" si="3"/>
        <v>0</v>
      </c>
      <c r="F54" s="21">
        <f t="shared" si="3"/>
        <v>0</v>
      </c>
      <c r="G54" s="21">
        <f t="shared" si="3"/>
        <v>2347.4114777376458</v>
      </c>
      <c r="H54" s="21">
        <f t="shared" si="3"/>
        <v>0</v>
      </c>
      <c r="I54" s="21">
        <f t="shared" si="3"/>
        <v>0</v>
      </c>
      <c r="J54" s="21">
        <f t="shared" si="3"/>
        <v>0</v>
      </c>
      <c r="K54" s="21">
        <f t="shared" si="3"/>
        <v>0</v>
      </c>
      <c r="L54" s="21">
        <f t="shared" si="3"/>
        <v>0</v>
      </c>
      <c r="M54" s="21">
        <f t="shared" si="3"/>
        <v>100.05995302179817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215</v>
      </c>
      <c r="B56" s="56">
        <f ca="1">'EF ele_warmte'!B12</f>
        <v>0.20522445332795367</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342</v>
      </c>
      <c r="B58" s="23">
        <f ca="1">B54*B56</f>
        <v>0</v>
      </c>
      <c r="C58" s="23">
        <f t="shared" ref="C58:P58" ca="1" si="4">C54*C56</f>
        <v>0</v>
      </c>
      <c r="D58" s="23">
        <f t="shared" si="4"/>
        <v>0</v>
      </c>
      <c r="E58" s="23">
        <f t="shared" si="4"/>
        <v>0</v>
      </c>
      <c r="F58" s="23">
        <f t="shared" si="4"/>
        <v>0</v>
      </c>
      <c r="G58" s="23">
        <f t="shared" si="4"/>
        <v>626.7588645559515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572</v>
      </c>
      <c r="B61" s="265"/>
      <c r="C61" s="266"/>
    </row>
    <row r="62" spans="1:18" s="15" customFormat="1">
      <c r="A62" s="295"/>
      <c r="B62" s="291"/>
      <c r="C62" s="296"/>
    </row>
    <row r="63" spans="1:18">
      <c r="A63" s="297"/>
      <c r="B63" s="133"/>
      <c r="C63" s="298" t="s">
        <v>183</v>
      </c>
    </row>
    <row r="64" spans="1:18">
      <c r="A64" s="289" t="s">
        <v>203</v>
      </c>
      <c r="B64" s="292">
        <f>100%-B65</f>
        <v>0.98</v>
      </c>
      <c r="C64" s="175"/>
    </row>
    <row r="65" spans="1:12">
      <c r="A65" s="289" t="s">
        <v>334</v>
      </c>
      <c r="B65" s="301">
        <v>0.02</v>
      </c>
      <c r="C65" s="175" t="s">
        <v>650</v>
      </c>
    </row>
    <row r="66" spans="1:12" s="15" customFormat="1">
      <c r="A66" s="290"/>
      <c r="B66" s="270"/>
      <c r="C66" s="233"/>
    </row>
    <row r="67" spans="1:12">
      <c r="A67" s="293" t="s">
        <v>317</v>
      </c>
      <c r="B67" s="294">
        <f>SUM(B64:B65)</f>
        <v>1</v>
      </c>
      <c r="C67" s="177"/>
    </row>
    <row r="70" spans="1:12">
      <c r="A70" s="264" t="s">
        <v>509</v>
      </c>
      <c r="B70" s="265"/>
      <c r="C70" s="265"/>
      <c r="D70" s="265"/>
      <c r="E70" s="265"/>
      <c r="F70" s="265"/>
      <c r="G70" s="265"/>
      <c r="H70" s="265"/>
      <c r="I70" s="265"/>
      <c r="J70" s="265"/>
      <c r="K70" s="265"/>
      <c r="L70" s="266"/>
    </row>
    <row r="71" spans="1:12">
      <c r="A71" s="428" t="s">
        <v>573</v>
      </c>
    </row>
    <row r="72" spans="1:12">
      <c r="A72" s="263"/>
      <c r="B72" s="267"/>
      <c r="C72" s="267"/>
      <c r="D72" s="267"/>
      <c r="E72" s="267"/>
    </row>
    <row r="73" spans="1:12">
      <c r="A73" s="274"/>
      <c r="B73" s="275" t="s">
        <v>319</v>
      </c>
      <c r="C73" s="946">
        <v>2011</v>
      </c>
      <c r="D73" s="275" t="s">
        <v>320</v>
      </c>
      <c r="E73" s="244" t="s">
        <v>183</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topLeftCell="A13" zoomScale="65" zoomScaleNormal="65" workbookViewId="0">
      <selection activeCell="B62" sqref="B62:Z62"/>
    </sheetView>
  </sheetViews>
  <sheetFormatPr defaultColWidth="9.140625" defaultRowHeight="15"/>
  <cols>
    <col min="1" max="1" width="38" style="631" customWidth="1"/>
    <col min="2" max="2" width="27" style="631" customWidth="1"/>
    <col min="3" max="3" width="25.42578125" style="631" customWidth="1"/>
    <col min="4" max="4" width="41.28515625" style="631" customWidth="1"/>
    <col min="5" max="5" width="27.5703125" style="631" customWidth="1"/>
    <col min="6" max="7" width="18" style="631" customWidth="1"/>
    <col min="8" max="8" width="23.42578125" style="631" customWidth="1"/>
    <col min="9" max="9" width="28.5703125" style="631" customWidth="1"/>
    <col min="10" max="10" width="35.28515625" style="631" customWidth="1"/>
    <col min="11" max="11" width="32.7109375" style="631" customWidth="1"/>
    <col min="12" max="12" width="23.85546875" style="631" customWidth="1"/>
    <col min="13" max="13" width="21.140625" style="631" customWidth="1"/>
    <col min="14" max="14" width="17.5703125" style="631" customWidth="1"/>
    <col min="15" max="15" width="22.85546875" style="631" customWidth="1"/>
    <col min="16" max="16" width="19.140625" style="631" customWidth="1"/>
    <col min="17" max="17" width="24.7109375" style="631" customWidth="1"/>
    <col min="18" max="18" width="9.140625" style="631"/>
    <col min="19" max="19" width="21.140625" style="631" customWidth="1"/>
    <col min="20" max="20" width="14.85546875" style="631" customWidth="1"/>
    <col min="21" max="21" width="16.140625" style="631" customWidth="1"/>
    <col min="22" max="22" width="14.7109375" style="631" customWidth="1"/>
    <col min="23" max="24" width="16.140625" style="631" customWidth="1"/>
    <col min="25" max="25" width="17.28515625" style="631" customWidth="1"/>
    <col min="26" max="26" width="16.85546875" style="631" customWidth="1"/>
    <col min="27" max="16384" width="9.140625" style="631"/>
  </cols>
  <sheetData>
    <row r="1" spans="1:19" s="547" customFormat="1" ht="17.45" customHeight="1" thickTop="1" thickBot="1">
      <c r="A1" s="1194" t="s">
        <v>242</v>
      </c>
      <c r="B1" s="1194" t="s">
        <v>243</v>
      </c>
      <c r="C1" s="1201" t="s">
        <v>244</v>
      </c>
      <c r="D1" s="1202"/>
      <c r="E1" s="1202"/>
      <c r="F1" s="1202"/>
      <c r="G1" s="1202"/>
      <c r="H1" s="1202"/>
      <c r="I1" s="1202"/>
      <c r="J1" s="1202"/>
      <c r="K1" s="1202"/>
      <c r="L1" s="1203"/>
      <c r="M1" s="1198" t="s">
        <v>245</v>
      </c>
      <c r="N1" s="1215" t="s">
        <v>560</v>
      </c>
      <c r="O1" s="1198"/>
      <c r="Q1" s="1193"/>
      <c r="R1" s="1193"/>
      <c r="S1" s="1193"/>
    </row>
    <row r="2" spans="1:19" s="547" customFormat="1" ht="15.75" thickBot="1">
      <c r="A2" s="1195"/>
      <c r="B2" s="1195"/>
      <c r="C2" s="1204" t="s">
        <v>198</v>
      </c>
      <c r="D2" s="1205"/>
      <c r="E2" s="1205"/>
      <c r="F2" s="1205"/>
      <c r="G2" s="1206"/>
      <c r="H2" s="1207" t="s">
        <v>246</v>
      </c>
      <c r="I2" s="1209" t="s">
        <v>247</v>
      </c>
      <c r="J2" s="1209" t="s">
        <v>235</v>
      </c>
      <c r="K2" s="1209" t="s">
        <v>248</v>
      </c>
      <c r="L2" s="1191" t="s">
        <v>127</v>
      </c>
      <c r="M2" s="1199"/>
      <c r="N2" s="1216"/>
      <c r="O2" s="1199"/>
      <c r="Q2" s="1193"/>
      <c r="R2" s="1193"/>
      <c r="S2" s="1193"/>
    </row>
    <row r="3" spans="1:19" s="547" customFormat="1" ht="53.45" customHeight="1" thickBot="1">
      <c r="A3" s="1196"/>
      <c r="B3" s="1197"/>
      <c r="C3" s="548" t="s">
        <v>200</v>
      </c>
      <c r="D3" s="549" t="s">
        <v>201</v>
      </c>
      <c r="E3" s="550" t="s">
        <v>202</v>
      </c>
      <c r="F3" s="551" t="s">
        <v>204</v>
      </c>
      <c r="G3" s="552" t="s">
        <v>205</v>
      </c>
      <c r="H3" s="1208"/>
      <c r="I3" s="1210"/>
      <c r="J3" s="1210"/>
      <c r="K3" s="1210"/>
      <c r="L3" s="1192"/>
      <c r="M3" s="1200"/>
      <c r="N3" s="1197"/>
      <c r="O3" s="1200"/>
      <c r="Q3" s="1193"/>
      <c r="R3" s="1193"/>
      <c r="S3" s="1193"/>
    </row>
    <row r="4" spans="1:19" s="547" customFormat="1" ht="15.75" thickTop="1">
      <c r="A4" s="553" t="s">
        <v>250</v>
      </c>
      <c r="B4" s="554">
        <f>IF(ISERROR(kWh_wind_land),0,kWh_wind_land)</f>
        <v>0</v>
      </c>
      <c r="C4" s="1179"/>
      <c r="D4" s="1182"/>
      <c r="E4" s="1182"/>
      <c r="F4" s="1185"/>
      <c r="G4" s="1188"/>
      <c r="H4" s="1176"/>
      <c r="I4" s="1182"/>
      <c r="J4" s="1182"/>
      <c r="K4" s="555"/>
      <c r="L4" s="1212"/>
      <c r="M4" s="556"/>
      <c r="N4" s="1224"/>
      <c r="O4" s="1225"/>
      <c r="Q4" s="557"/>
      <c r="R4" s="1211"/>
      <c r="S4" s="1211"/>
    </row>
    <row r="5" spans="1:19" s="547" customFormat="1">
      <c r="A5" s="558" t="s">
        <v>251</v>
      </c>
      <c r="B5" s="554">
        <f>IF(ISERROR(kWh_waterkracht),0,kWh_waterkracht)</f>
        <v>0</v>
      </c>
      <c r="C5" s="1180"/>
      <c r="D5" s="1183"/>
      <c r="E5" s="1183"/>
      <c r="F5" s="1186"/>
      <c r="G5" s="1189"/>
      <c r="H5" s="1177"/>
      <c r="I5" s="1183"/>
      <c r="J5" s="1183"/>
      <c r="K5" s="1183"/>
      <c r="L5" s="1213"/>
      <c r="M5" s="559"/>
      <c r="N5" s="1226"/>
      <c r="O5" s="1227"/>
      <c r="Q5" s="557"/>
      <c r="R5" s="1211"/>
      <c r="S5" s="1211"/>
    </row>
    <row r="6" spans="1:19" s="547" customFormat="1">
      <c r="A6" s="558" t="s">
        <v>252</v>
      </c>
      <c r="B6" s="554">
        <f>IF(ISERROR((kWh_PV_kleiner_dan_10kW+kWh_PV_groter_dan_10kW)),0,(kWh_PV_kleiner_dan_10kW+kWh_PV_groter_dan_10kW))</f>
        <v>2433.3783192390974</v>
      </c>
      <c r="C6" s="1181"/>
      <c r="D6" s="1184"/>
      <c r="E6" s="1184"/>
      <c r="F6" s="1187"/>
      <c r="G6" s="1190"/>
      <c r="H6" s="1178"/>
      <c r="I6" s="1184"/>
      <c r="J6" s="1184"/>
      <c r="K6" s="1184"/>
      <c r="L6" s="1214"/>
      <c r="M6" s="559"/>
      <c r="N6" s="1226"/>
      <c r="O6" s="1227"/>
      <c r="Q6" s="557"/>
      <c r="R6" s="1211"/>
      <c r="S6" s="1211"/>
    </row>
    <row r="7" spans="1:19" s="547" customFormat="1">
      <c r="A7" s="560" t="s">
        <v>253</v>
      </c>
      <c r="B7" s="561">
        <f>N57</f>
        <v>0</v>
      </c>
      <c r="C7" s="562">
        <f>B100</f>
        <v>0</v>
      </c>
      <c r="D7" s="563"/>
      <c r="E7" s="563">
        <f>E100</f>
        <v>0</v>
      </c>
      <c r="F7" s="564"/>
      <c r="G7" s="565"/>
      <c r="H7" s="563">
        <f>I100</f>
        <v>0</v>
      </c>
      <c r="I7" s="563">
        <f>G100+F100</f>
        <v>0</v>
      </c>
      <c r="J7" s="563">
        <f>H100+D100+C100</f>
        <v>0</v>
      </c>
      <c r="K7" s="563"/>
      <c r="L7" s="566"/>
      <c r="M7" s="567">
        <f>C7*$C$11+D7*$D$11+E7*$E$11+F7*$F$11+G7*$G$11+H7*$H$11+I7*$I$11+J7*$J$11</f>
        <v>0</v>
      </c>
      <c r="N7" s="1226"/>
      <c r="O7" s="1227"/>
      <c r="Q7" s="557"/>
      <c r="R7" s="1211"/>
      <c r="S7" s="1211"/>
    </row>
    <row r="8" spans="1:19" s="547" customFormat="1" ht="17.45" customHeight="1" thickBot="1">
      <c r="A8" s="568" t="s">
        <v>249</v>
      </c>
      <c r="B8" s="569">
        <f>N88+'Eigen informatie GS &amp; warmtenet'!B12</f>
        <v>0</v>
      </c>
      <c r="C8" s="570">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1">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1">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1">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1">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7">
        <f>C8*$C$11+D8*$D$11+E8*$E$11+F8*$F$11+G8*$G$11+H8*$H$11+I8*$I$11+J8*$J$11</f>
        <v>0</v>
      </c>
      <c r="N8" s="1228"/>
      <c r="O8" s="1229"/>
      <c r="P8" s="575"/>
      <c r="Q8" s="557"/>
      <c r="R8" s="1211"/>
      <c r="S8" s="1211"/>
    </row>
    <row r="9" spans="1:19" s="547" customFormat="1" ht="16.5" thickTop="1" thickBot="1">
      <c r="A9" s="576" t="s">
        <v>116</v>
      </c>
      <c r="B9" s="577">
        <f>SUM(B4:B8)</f>
        <v>2433.3783192390974</v>
      </c>
      <c r="C9" s="578">
        <f t="shared" ref="C9:L9" si="0">SUM(C7:C8)</f>
        <v>0</v>
      </c>
      <c r="D9" s="578">
        <f t="shared" si="0"/>
        <v>0</v>
      </c>
      <c r="E9" s="578">
        <f t="shared" si="0"/>
        <v>0</v>
      </c>
      <c r="F9" s="578">
        <f t="shared" si="0"/>
        <v>0</v>
      </c>
      <c r="G9" s="578">
        <f t="shared" si="0"/>
        <v>0</v>
      </c>
      <c r="H9" s="578">
        <f t="shared" si="0"/>
        <v>0</v>
      </c>
      <c r="I9" s="578">
        <f t="shared" si="0"/>
        <v>0</v>
      </c>
      <c r="J9" s="578">
        <f t="shared" si="0"/>
        <v>0</v>
      </c>
      <c r="K9" s="578">
        <f t="shared" si="0"/>
        <v>0</v>
      </c>
      <c r="L9" s="578">
        <f t="shared" si="0"/>
        <v>0</v>
      </c>
      <c r="M9" s="579">
        <f>SUM(M4:M8)</f>
        <v>0</v>
      </c>
      <c r="N9" s="580"/>
      <c r="P9" s="581"/>
      <c r="Q9" s="557"/>
      <c r="R9" s="581"/>
      <c r="S9" s="581"/>
    </row>
    <row r="10" spans="1:19" s="584" customFormat="1" ht="15.75" thickTop="1">
      <c r="A10" s="582"/>
      <c r="B10" s="583"/>
      <c r="C10" s="583"/>
      <c r="D10" s="583"/>
      <c r="E10" s="583"/>
      <c r="F10" s="583"/>
      <c r="G10" s="583"/>
      <c r="H10" s="583"/>
      <c r="I10" s="583"/>
      <c r="J10" s="583"/>
      <c r="K10" s="583"/>
      <c r="L10" s="583"/>
      <c r="N10" s="583"/>
      <c r="P10" s="583"/>
    </row>
    <row r="11" spans="1:19" s="584" customFormat="1">
      <c r="A11" s="585" t="s">
        <v>291</v>
      </c>
      <c r="B11" s="586"/>
      <c r="C11" s="586">
        <f>EF_CO2_aardgas</f>
        <v>0.20200000000000001</v>
      </c>
      <c r="D11" s="586">
        <f>EF_VLgas_CO2</f>
        <v>0.22700000000000001</v>
      </c>
      <c r="E11" s="586">
        <f>EF_stookolie_CO2</f>
        <v>0.26700000000000002</v>
      </c>
      <c r="F11" s="586">
        <f>EF_bruinkool_CO2</f>
        <v>0.35099999999999998</v>
      </c>
      <c r="G11" s="586">
        <f>EF_steenkool_CO2</f>
        <v>0.35399999999999998</v>
      </c>
      <c r="H11" s="586">
        <f>'EF brandstof'!M4</f>
        <v>0.33</v>
      </c>
      <c r="I11" s="586">
        <f>'EF brandstof'!J4</f>
        <v>0</v>
      </c>
      <c r="J11" s="586">
        <f>'EF brandstof'!L4</f>
        <v>0</v>
      </c>
      <c r="K11" s="586">
        <f>'EF brandstof'!L4</f>
        <v>0</v>
      </c>
      <c r="L11" s="586"/>
      <c r="N11" s="587"/>
      <c r="O11" s="587"/>
      <c r="P11" s="587"/>
    </row>
    <row r="12" spans="1:19" s="547" customFormat="1" ht="15.75" thickBot="1">
      <c r="A12" s="588"/>
      <c r="B12" s="587"/>
      <c r="C12" s="587"/>
      <c r="D12" s="587"/>
      <c r="E12" s="587"/>
      <c r="F12" s="587"/>
      <c r="G12" s="587"/>
      <c r="H12" s="587"/>
      <c r="I12" s="587"/>
      <c r="J12" s="587"/>
      <c r="K12" s="587"/>
      <c r="L12" s="587"/>
      <c r="M12" s="587"/>
      <c r="N12" s="587"/>
      <c r="O12" s="587"/>
      <c r="P12" s="587"/>
    </row>
    <row r="13" spans="1:19" s="547" customFormat="1" ht="17.25" thickTop="1" thickBot="1">
      <c r="A13" s="1194" t="s">
        <v>254</v>
      </c>
      <c r="B13" s="1194" t="s">
        <v>255</v>
      </c>
      <c r="C13" s="1201" t="s">
        <v>256</v>
      </c>
      <c r="D13" s="1202"/>
      <c r="E13" s="1202"/>
      <c r="F13" s="1202"/>
      <c r="G13" s="1202"/>
      <c r="H13" s="1202"/>
      <c r="I13" s="1202"/>
      <c r="J13" s="1202"/>
      <c r="K13" s="1202"/>
      <c r="L13" s="1203"/>
      <c r="M13" s="1198" t="s">
        <v>245</v>
      </c>
      <c r="N13" s="1215" t="s">
        <v>257</v>
      </c>
      <c r="O13" s="1198"/>
      <c r="P13" s="1193"/>
      <c r="Q13" s="1193"/>
      <c r="R13" s="1193"/>
    </row>
    <row r="14" spans="1:19" s="547" customFormat="1" ht="15.75" thickBot="1">
      <c r="A14" s="1195"/>
      <c r="B14" s="1195"/>
      <c r="C14" s="1217" t="s">
        <v>198</v>
      </c>
      <c r="D14" s="1218"/>
      <c r="E14" s="1218"/>
      <c r="F14" s="1218"/>
      <c r="G14" s="1219"/>
      <c r="H14" s="1220" t="s">
        <v>246</v>
      </c>
      <c r="I14" s="1220" t="s">
        <v>247</v>
      </c>
      <c r="J14" s="1221" t="s">
        <v>235</v>
      </c>
      <c r="K14" s="1209" t="s">
        <v>258</v>
      </c>
      <c r="L14" s="1191" t="s">
        <v>127</v>
      </c>
      <c r="M14" s="1199"/>
      <c r="N14" s="1216"/>
      <c r="O14" s="1199"/>
      <c r="P14" s="1193"/>
      <c r="Q14" s="1193"/>
      <c r="R14" s="1193"/>
    </row>
    <row r="15" spans="1:19" s="547" customFormat="1" ht="40.700000000000003" customHeight="1" thickBot="1">
      <c r="A15" s="1196"/>
      <c r="B15" s="1196"/>
      <c r="C15" s="589" t="s">
        <v>200</v>
      </c>
      <c r="D15" s="549" t="s">
        <v>201</v>
      </c>
      <c r="E15" s="590" t="s">
        <v>202</v>
      </c>
      <c r="F15" s="549" t="s">
        <v>204</v>
      </c>
      <c r="G15" s="591" t="s">
        <v>205</v>
      </c>
      <c r="H15" s="1208"/>
      <c r="I15" s="1208"/>
      <c r="J15" s="1222"/>
      <c r="K15" s="1210"/>
      <c r="L15" s="1223"/>
      <c r="M15" s="1200"/>
      <c r="N15" s="1197"/>
      <c r="O15" s="1200"/>
      <c r="P15" s="1193"/>
      <c r="Q15" s="1193"/>
      <c r="R15" s="1193"/>
    </row>
    <row r="16" spans="1:19" s="547" customFormat="1" ht="15.75" thickTop="1">
      <c r="A16" s="592" t="s">
        <v>253</v>
      </c>
      <c r="B16" s="593">
        <f>O57</f>
        <v>0</v>
      </c>
      <c r="C16" s="594">
        <f>B101</f>
        <v>0</v>
      </c>
      <c r="D16" s="595"/>
      <c r="E16" s="595">
        <f>E101</f>
        <v>0</v>
      </c>
      <c r="F16" s="596"/>
      <c r="G16" s="597"/>
      <c r="H16" s="594">
        <f>I101</f>
        <v>0</v>
      </c>
      <c r="I16" s="595">
        <f>G101+F101</f>
        <v>0</v>
      </c>
      <c r="J16" s="595">
        <f>H101+D101+C101</f>
        <v>0</v>
      </c>
      <c r="K16" s="595"/>
      <c r="L16" s="598"/>
      <c r="M16" s="599">
        <f>C16*$C$21+E16*$E$21+H16*$H$21+I16*$I$21+J16*$J$21+D16*$D$21+F16*$F$21+G16*$G$21+K16*$K$21+L16*$L$21</f>
        <v>0</v>
      </c>
      <c r="N16" s="1233"/>
      <c r="O16" s="1234"/>
      <c r="P16" s="600"/>
      <c r="Q16" s="1235"/>
      <c r="R16" s="1235"/>
    </row>
    <row r="17" spans="1:26" s="547" customFormat="1">
      <c r="A17" s="601" t="s">
        <v>259</v>
      </c>
      <c r="B17" s="602">
        <f>'Eigen informatie GS &amp; warmtenet'!B32</f>
        <v>0</v>
      </c>
      <c r="C17" s="563">
        <f>'Eigen informatie GS &amp; warmtenet'!B35</f>
        <v>0</v>
      </c>
      <c r="D17" s="563">
        <f>'Eigen informatie GS &amp; warmtenet'!B36</f>
        <v>0</v>
      </c>
      <c r="E17" s="563">
        <f>'Eigen informatie GS &amp; warmtenet'!B37</f>
        <v>0</v>
      </c>
      <c r="F17" s="563">
        <f>'Eigen informatie GS &amp; warmtenet'!B38</f>
        <v>0</v>
      </c>
      <c r="G17" s="563">
        <f>'Eigen informatie GS &amp; warmtenet'!B39</f>
        <v>0</v>
      </c>
      <c r="H17" s="563">
        <f>'Eigen informatie GS &amp; warmtenet'!B40</f>
        <v>0</v>
      </c>
      <c r="I17" s="563">
        <f>'Eigen informatie GS &amp; warmtenet'!B41</f>
        <v>0</v>
      </c>
      <c r="J17" s="563">
        <f>'Eigen informatie GS &amp; warmtenet'!B42</f>
        <v>0</v>
      </c>
      <c r="K17" s="563">
        <f>'Eigen informatie GS &amp; warmtenet'!B43</f>
        <v>0</v>
      </c>
      <c r="L17" s="563">
        <f>'Eigen informatie GS &amp; warmtenet'!B44</f>
        <v>0</v>
      </c>
      <c r="M17" s="599">
        <f>C17*$C$21+E17*$E$21+H17*$H$21+I17*$I$21+J17*$J$21+D17*$D$21+F17*$F$21+G17*$G$21+K17*$K$21+L17*$L$21</f>
        <v>0</v>
      </c>
      <c r="N17" s="1236"/>
      <c r="O17" s="1237"/>
      <c r="P17" s="557"/>
      <c r="Q17" s="1211"/>
      <c r="R17" s="1211"/>
    </row>
    <row r="18" spans="1:26" s="547" customFormat="1" ht="15.75" thickBot="1">
      <c r="A18" s="568" t="s">
        <v>249</v>
      </c>
      <c r="B18" s="602">
        <f>'Eigen informatie GS &amp; warmtenet'!B11</f>
        <v>0</v>
      </c>
      <c r="C18" s="60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599">
        <f>C18*$C$21+E18*$E$21+H18*$H$21+I18*$I$21+J18*$J$21+D18*$D$21+F18*$F$21+G18*$G$21+K18*$K$21+L18*$L$21</f>
        <v>0</v>
      </c>
      <c r="N18" s="1238"/>
      <c r="O18" s="1239"/>
      <c r="P18" s="557"/>
      <c r="Q18" s="1211"/>
      <c r="R18" s="1211"/>
    </row>
    <row r="19" spans="1:26" s="547" customFormat="1" ht="16.5" thickTop="1" thickBot="1">
      <c r="A19" s="576" t="s">
        <v>116</v>
      </c>
      <c r="B19" s="577">
        <f>SUM(B16:B18)</f>
        <v>0</v>
      </c>
      <c r="C19" s="577">
        <f>SUM(C16:C18)</f>
        <v>0</v>
      </c>
      <c r="D19" s="577">
        <f t="shared" ref="D19:M19" si="1">SUM(D16:D18)</f>
        <v>0</v>
      </c>
      <c r="E19" s="577">
        <f t="shared" si="1"/>
        <v>0</v>
      </c>
      <c r="F19" s="577">
        <f t="shared" si="1"/>
        <v>0</v>
      </c>
      <c r="G19" s="577">
        <f t="shared" si="1"/>
        <v>0</v>
      </c>
      <c r="H19" s="577">
        <f t="shared" si="1"/>
        <v>0</v>
      </c>
      <c r="I19" s="577">
        <f t="shared" si="1"/>
        <v>0</v>
      </c>
      <c r="J19" s="577">
        <f t="shared" si="1"/>
        <v>0</v>
      </c>
      <c r="K19" s="577">
        <f t="shared" si="1"/>
        <v>0</v>
      </c>
      <c r="L19" s="577">
        <f t="shared" si="1"/>
        <v>0</v>
      </c>
      <c r="M19" s="604">
        <f t="shared" si="1"/>
        <v>0</v>
      </c>
      <c r="N19" s="1230"/>
      <c r="O19" s="1231"/>
      <c r="P19" s="557"/>
      <c r="Q19" s="1232"/>
      <c r="R19" s="1232"/>
    </row>
    <row r="20" spans="1:26" s="547" customFormat="1" ht="15.75" thickTop="1">
      <c r="A20" s="600"/>
      <c r="B20" s="557"/>
      <c r="C20" s="557"/>
      <c r="D20" s="557"/>
      <c r="E20" s="557"/>
      <c r="F20" s="557"/>
      <c r="G20" s="557"/>
      <c r="H20" s="557"/>
      <c r="I20" s="557"/>
      <c r="J20" s="557"/>
      <c r="K20" s="557"/>
      <c r="L20" s="557"/>
      <c r="M20" s="557"/>
      <c r="N20" s="581"/>
      <c r="O20" s="581"/>
      <c r="P20" s="557"/>
      <c r="Q20" s="581"/>
      <c r="R20" s="581"/>
    </row>
    <row r="21" spans="1:26" s="584" customFormat="1">
      <c r="A21" s="585" t="s">
        <v>291</v>
      </c>
      <c r="B21" s="586"/>
      <c r="C21" s="586">
        <f>EF_CO2_aardgas</f>
        <v>0.20200000000000001</v>
      </c>
      <c r="D21" s="586">
        <f>EF_VLgas_CO2</f>
        <v>0.22700000000000001</v>
      </c>
      <c r="E21" s="586">
        <f>EF_stookolie_CO2</f>
        <v>0.26700000000000002</v>
      </c>
      <c r="F21" s="586">
        <f>EF_bruinkool_CO2</f>
        <v>0.35099999999999998</v>
      </c>
      <c r="G21" s="586">
        <f>EF_steenkool_CO2</f>
        <v>0.35399999999999998</v>
      </c>
      <c r="H21" s="586">
        <f>'EF brandstof'!M4</f>
        <v>0.33</v>
      </c>
      <c r="I21" s="586">
        <f>'EF brandstof'!J4</f>
        <v>0</v>
      </c>
      <c r="J21" s="586">
        <f>'EF brandstof'!L4</f>
        <v>0</v>
      </c>
      <c r="K21" s="586">
        <f>'EF brandstof'!L4</f>
        <v>0</v>
      </c>
      <c r="L21" s="586"/>
      <c r="M21" s="587"/>
      <c r="N21" s="587"/>
      <c r="O21" s="587"/>
      <c r="P21" s="587"/>
      <c r="Q21" s="547"/>
    </row>
    <row r="22" spans="1:26" s="584" customFormat="1">
      <c r="A22" s="588"/>
      <c r="B22" s="587"/>
      <c r="C22" s="587"/>
      <c r="D22" s="587"/>
      <c r="E22" s="587"/>
      <c r="F22" s="587"/>
      <c r="G22" s="587"/>
      <c r="H22" s="587"/>
      <c r="I22" s="587"/>
      <c r="J22" s="587"/>
      <c r="K22" s="587"/>
      <c r="L22" s="587"/>
      <c r="M22" s="587"/>
      <c r="N22" s="587"/>
      <c r="O22" s="587"/>
      <c r="P22" s="587"/>
      <c r="Q22" s="547"/>
    </row>
    <row r="23" spans="1:26" s="584" customFormat="1">
      <c r="A23" s="588"/>
      <c r="B23" s="587"/>
      <c r="C23" s="587"/>
      <c r="D23" s="605"/>
      <c r="E23" s="605"/>
      <c r="F23" s="605"/>
      <c r="G23" s="587"/>
      <c r="H23" s="587"/>
      <c r="I23" s="587"/>
      <c r="J23" s="587"/>
      <c r="K23" s="587"/>
      <c r="L23" s="587"/>
      <c r="M23" s="587"/>
      <c r="N23" s="587"/>
      <c r="O23" s="587"/>
      <c r="P23" s="587"/>
    </row>
    <row r="24" spans="1:26" s="584" customFormat="1">
      <c r="A24" s="588"/>
      <c r="B24" s="587"/>
      <c r="C24" s="587"/>
      <c r="D24" s="605"/>
      <c r="E24" s="605"/>
      <c r="F24" s="605"/>
      <c r="G24" s="587"/>
      <c r="H24" s="587"/>
      <c r="I24" s="587"/>
      <c r="J24" s="587"/>
      <c r="K24" s="587"/>
      <c r="L24" s="587"/>
      <c r="M24" s="587"/>
      <c r="N24" s="587"/>
      <c r="O24" s="587"/>
      <c r="P24" s="587"/>
    </row>
    <row r="25" spans="1:26" s="547" customFormat="1" ht="15.75" thickBot="1">
      <c r="B25" s="605"/>
      <c r="C25" s="605"/>
      <c r="D25" s="605"/>
      <c r="E25" s="605"/>
      <c r="F25" s="605"/>
      <c r="G25" s="605"/>
      <c r="H25" s="605"/>
      <c r="I25" s="605"/>
      <c r="J25" s="605"/>
      <c r="K25" s="605"/>
      <c r="L25" s="605"/>
      <c r="M25" s="605"/>
      <c r="N25" s="605"/>
      <c r="O25" s="606"/>
      <c r="P25" s="606"/>
    </row>
    <row r="26" spans="1:26" s="547" customFormat="1" ht="45">
      <c r="A26" s="607" t="s">
        <v>280</v>
      </c>
      <c r="B26" s="652" t="s">
        <v>90</v>
      </c>
      <c r="C26" s="652" t="s">
        <v>91</v>
      </c>
      <c r="D26" s="652" t="s">
        <v>92</v>
      </c>
      <c r="E26" s="652" t="s">
        <v>93</v>
      </c>
      <c r="F26" s="652" t="s">
        <v>94</v>
      </c>
      <c r="G26" s="652" t="s">
        <v>95</v>
      </c>
      <c r="H26" s="652" t="s">
        <v>96</v>
      </c>
      <c r="I26" s="652" t="s">
        <v>97</v>
      </c>
      <c r="J26" s="652" t="s">
        <v>98</v>
      </c>
      <c r="K26" s="652" t="s">
        <v>99</v>
      </c>
      <c r="L26" s="652" t="s">
        <v>100</v>
      </c>
      <c r="M26" s="653" t="s">
        <v>299</v>
      </c>
      <c r="N26" s="653" t="s">
        <v>101</v>
      </c>
      <c r="O26" s="653" t="s">
        <v>102</v>
      </c>
      <c r="P26" s="653" t="s">
        <v>547</v>
      </c>
      <c r="Q26" s="653" t="s">
        <v>103</v>
      </c>
      <c r="R26" s="653" t="s">
        <v>104</v>
      </c>
      <c r="S26" s="653" t="s">
        <v>105</v>
      </c>
      <c r="T26" s="653" t="s">
        <v>106</v>
      </c>
      <c r="U26" s="653" t="s">
        <v>107</v>
      </c>
      <c r="V26" s="653" t="s">
        <v>108</v>
      </c>
      <c r="W26" s="652" t="s">
        <v>109</v>
      </c>
      <c r="X26" s="652" t="s">
        <v>300</v>
      </c>
      <c r="Y26" s="652" t="s">
        <v>110</v>
      </c>
      <c r="Z26" s="654" t="s">
        <v>301</v>
      </c>
    </row>
    <row r="27" spans="1:26" s="609" customFormat="1" ht="12.75">
      <c r="A27" s="608"/>
      <c r="B27" s="839"/>
      <c r="C27" s="839"/>
      <c r="D27" s="656"/>
      <c r="E27" s="655"/>
      <c r="F27" s="655"/>
      <c r="G27" s="655"/>
      <c r="H27" s="655"/>
      <c r="I27" s="655"/>
      <c r="J27" s="838"/>
      <c r="K27" s="838"/>
      <c r="L27" s="655"/>
      <c r="M27" s="655"/>
      <c r="N27" s="655"/>
      <c r="O27" s="655"/>
      <c r="P27" s="655"/>
      <c r="Q27" s="655"/>
      <c r="R27" s="655"/>
      <c r="S27" s="655"/>
      <c r="T27" s="655"/>
      <c r="U27" s="655"/>
      <c r="V27" s="655"/>
      <c r="W27" s="655"/>
      <c r="X27" s="655"/>
      <c r="Y27" s="655"/>
      <c r="Z27" s="657"/>
    </row>
    <row r="28" spans="1:26" s="609" customFormat="1" ht="12.75">
      <c r="A28" s="608"/>
      <c r="B28" s="839"/>
      <c r="C28" s="839"/>
      <c r="D28" s="656"/>
      <c r="E28" s="655"/>
      <c r="F28" s="655"/>
      <c r="G28" s="655"/>
      <c r="H28" s="655"/>
      <c r="I28" s="655"/>
      <c r="J28" s="838"/>
      <c r="K28" s="838"/>
      <c r="L28" s="655"/>
      <c r="M28" s="655"/>
      <c r="N28" s="655"/>
      <c r="O28" s="655"/>
      <c r="P28" s="655"/>
      <c r="Q28" s="655"/>
      <c r="R28" s="655"/>
      <c r="S28" s="655"/>
      <c r="T28" s="655"/>
      <c r="U28" s="655"/>
      <c r="V28" s="655"/>
      <c r="W28" s="655"/>
      <c r="X28" s="655"/>
      <c r="Y28" s="655"/>
      <c r="Z28" s="657"/>
    </row>
    <row r="29" spans="1:26" s="609" customFormat="1" ht="12.75">
      <c r="A29" s="608"/>
      <c r="B29" s="839"/>
      <c r="C29" s="839"/>
      <c r="D29" s="656"/>
      <c r="E29" s="655"/>
      <c r="F29" s="655"/>
      <c r="G29" s="655"/>
      <c r="H29" s="655"/>
      <c r="I29" s="655"/>
      <c r="J29" s="838"/>
      <c r="K29" s="838"/>
      <c r="L29" s="655"/>
      <c r="M29" s="655"/>
      <c r="N29" s="655"/>
      <c r="O29" s="655"/>
      <c r="P29" s="655"/>
      <c r="Q29" s="655"/>
      <c r="R29" s="655"/>
      <c r="S29" s="655"/>
      <c r="T29" s="655"/>
      <c r="U29" s="655"/>
      <c r="V29" s="655"/>
      <c r="W29" s="655"/>
      <c r="X29" s="655"/>
      <c r="Y29" s="655"/>
      <c r="Z29" s="657"/>
    </row>
    <row r="30" spans="1:26" s="609" customFormat="1" ht="12.75">
      <c r="A30" s="608"/>
      <c r="B30" s="839"/>
      <c r="C30" s="839"/>
      <c r="D30" s="656"/>
      <c r="E30" s="655"/>
      <c r="F30" s="655"/>
      <c r="G30" s="655"/>
      <c r="H30" s="655"/>
      <c r="I30" s="655"/>
      <c r="J30" s="838"/>
      <c r="K30" s="838"/>
      <c r="L30" s="655"/>
      <c r="M30" s="655"/>
      <c r="N30" s="655"/>
      <c r="O30" s="655"/>
      <c r="P30" s="655"/>
      <c r="Q30" s="655"/>
      <c r="R30" s="655"/>
      <c r="S30" s="655"/>
      <c r="T30" s="655"/>
      <c r="U30" s="655"/>
      <c r="V30" s="655"/>
      <c r="W30" s="655"/>
      <c r="X30" s="655"/>
      <c r="Y30" s="655"/>
      <c r="Z30" s="657"/>
    </row>
    <row r="31" spans="1:26" s="609" customFormat="1" ht="12.75">
      <c r="A31" s="608"/>
      <c r="B31" s="839"/>
      <c r="C31" s="839"/>
      <c r="D31" s="656"/>
      <c r="E31" s="655"/>
      <c r="F31" s="655"/>
      <c r="G31" s="655"/>
      <c r="H31" s="655"/>
      <c r="I31" s="655"/>
      <c r="J31" s="838"/>
      <c r="K31" s="838"/>
      <c r="L31" s="655"/>
      <c r="M31" s="655"/>
      <c r="N31" s="655"/>
      <c r="O31" s="655"/>
      <c r="P31" s="655"/>
      <c r="Q31" s="655"/>
      <c r="R31" s="655"/>
      <c r="S31" s="655"/>
      <c r="T31" s="655"/>
      <c r="U31" s="655"/>
      <c r="V31" s="655"/>
      <c r="W31" s="655"/>
      <c r="X31" s="655"/>
      <c r="Y31" s="655"/>
      <c r="Z31" s="657"/>
    </row>
    <row r="32" spans="1:26" s="609" customFormat="1" ht="12.75">
      <c r="A32" s="608"/>
      <c r="B32" s="839"/>
      <c r="C32" s="839"/>
      <c r="D32" s="656"/>
      <c r="E32" s="655"/>
      <c r="F32" s="655"/>
      <c r="G32" s="655"/>
      <c r="H32" s="655"/>
      <c r="I32" s="655"/>
      <c r="J32" s="838"/>
      <c r="K32" s="838"/>
      <c r="L32" s="655"/>
      <c r="M32" s="655"/>
      <c r="N32" s="655"/>
      <c r="O32" s="655"/>
      <c r="P32" s="655"/>
      <c r="Q32" s="655"/>
      <c r="R32" s="655"/>
      <c r="S32" s="655"/>
      <c r="T32" s="655"/>
      <c r="U32" s="655"/>
      <c r="V32" s="655"/>
      <c r="W32" s="655"/>
      <c r="X32" s="655"/>
      <c r="Y32" s="655"/>
      <c r="Z32" s="657"/>
    </row>
    <row r="33" spans="1:26" s="609" customFormat="1" ht="12.75">
      <c r="A33" s="608"/>
      <c r="B33" s="839"/>
      <c r="C33" s="839"/>
      <c r="D33" s="656"/>
      <c r="E33" s="655"/>
      <c r="F33" s="655"/>
      <c r="G33" s="655"/>
      <c r="H33" s="655"/>
      <c r="I33" s="655"/>
      <c r="J33" s="838"/>
      <c r="K33" s="838"/>
      <c r="L33" s="655"/>
      <c r="M33" s="655"/>
      <c r="N33" s="655"/>
      <c r="O33" s="655"/>
      <c r="P33" s="655"/>
      <c r="Q33" s="655"/>
      <c r="R33" s="655"/>
      <c r="S33" s="655"/>
      <c r="T33" s="655"/>
      <c r="U33" s="655"/>
      <c r="V33" s="655"/>
      <c r="W33" s="655"/>
      <c r="X33" s="655"/>
      <c r="Y33" s="655"/>
      <c r="Z33" s="657"/>
    </row>
    <row r="34" spans="1:26" s="609" customFormat="1" ht="12.75">
      <c r="A34" s="608"/>
      <c r="B34" s="839"/>
      <c r="C34" s="839"/>
      <c r="D34" s="656"/>
      <c r="E34" s="655"/>
      <c r="F34" s="655"/>
      <c r="G34" s="655"/>
      <c r="H34" s="655"/>
      <c r="I34" s="655"/>
      <c r="J34" s="838"/>
      <c r="K34" s="838"/>
      <c r="L34" s="655"/>
      <c r="M34" s="655"/>
      <c r="N34" s="655"/>
      <c r="O34" s="655"/>
      <c r="P34" s="655"/>
      <c r="Q34" s="655"/>
      <c r="R34" s="655"/>
      <c r="S34" s="655"/>
      <c r="T34" s="655"/>
      <c r="U34" s="655"/>
      <c r="V34" s="655"/>
      <c r="W34" s="655"/>
      <c r="X34" s="655"/>
      <c r="Y34" s="655"/>
      <c r="Z34" s="657"/>
    </row>
    <row r="35" spans="1:26" s="609" customFormat="1" ht="12.75">
      <c r="A35" s="608"/>
      <c r="B35" s="839"/>
      <c r="C35" s="839"/>
      <c r="D35" s="656"/>
      <c r="E35" s="655"/>
      <c r="F35" s="655"/>
      <c r="G35" s="655"/>
      <c r="H35" s="655"/>
      <c r="I35" s="655"/>
      <c r="J35" s="838"/>
      <c r="K35" s="838"/>
      <c r="L35" s="655"/>
      <c r="M35" s="655"/>
      <c r="N35" s="655"/>
      <c r="O35" s="655"/>
      <c r="P35" s="655"/>
      <c r="Q35" s="655"/>
      <c r="R35" s="655"/>
      <c r="S35" s="655"/>
      <c r="T35" s="655"/>
      <c r="U35" s="655"/>
      <c r="V35" s="655"/>
      <c r="W35" s="655"/>
      <c r="X35" s="655"/>
      <c r="Y35" s="655"/>
      <c r="Z35" s="657"/>
    </row>
    <row r="36" spans="1:26" s="609" customFormat="1" ht="12.75">
      <c r="A36" s="608"/>
      <c r="B36" s="839"/>
      <c r="C36" s="839"/>
      <c r="D36" s="656"/>
      <c r="E36" s="655"/>
      <c r="F36" s="655"/>
      <c r="G36" s="655"/>
      <c r="H36" s="655"/>
      <c r="I36" s="655"/>
      <c r="J36" s="838"/>
      <c r="K36" s="838"/>
      <c r="L36" s="655"/>
      <c r="M36" s="655"/>
      <c r="N36" s="655"/>
      <c r="O36" s="655"/>
      <c r="P36" s="655"/>
      <c r="Q36" s="655"/>
      <c r="R36" s="655"/>
      <c r="S36" s="655"/>
      <c r="T36" s="655"/>
      <c r="U36" s="655"/>
      <c r="V36" s="655"/>
      <c r="W36" s="655"/>
      <c r="X36" s="655"/>
      <c r="Y36" s="655"/>
      <c r="Z36" s="657"/>
    </row>
    <row r="37" spans="1:26" s="609" customFormat="1" ht="12.75">
      <c r="A37" s="608"/>
      <c r="B37" s="839"/>
      <c r="C37" s="839"/>
      <c r="D37" s="656"/>
      <c r="E37" s="655"/>
      <c r="F37" s="655"/>
      <c r="G37" s="655"/>
      <c r="H37" s="655"/>
      <c r="I37" s="655"/>
      <c r="J37" s="838"/>
      <c r="K37" s="838"/>
      <c r="L37" s="655"/>
      <c r="M37" s="655"/>
      <c r="N37" s="655"/>
      <c r="O37" s="655"/>
      <c r="P37" s="655"/>
      <c r="Q37" s="655"/>
      <c r="R37" s="655"/>
      <c r="S37" s="655"/>
      <c r="T37" s="655"/>
      <c r="U37" s="655"/>
      <c r="V37" s="655"/>
      <c r="W37" s="655"/>
      <c r="X37" s="655"/>
      <c r="Y37" s="655"/>
      <c r="Z37" s="657"/>
    </row>
    <row r="38" spans="1:26" s="609" customFormat="1" ht="12.75">
      <c r="A38" s="608"/>
      <c r="B38" s="839"/>
      <c r="C38" s="839"/>
      <c r="D38" s="656"/>
      <c r="E38" s="655"/>
      <c r="F38" s="655"/>
      <c r="G38" s="655"/>
      <c r="H38" s="655"/>
      <c r="I38" s="655"/>
      <c r="J38" s="838"/>
      <c r="K38" s="838"/>
      <c r="L38" s="655"/>
      <c r="M38" s="655"/>
      <c r="N38" s="655"/>
      <c r="O38" s="655"/>
      <c r="P38" s="655"/>
      <c r="Q38" s="655"/>
      <c r="R38" s="655"/>
      <c r="S38" s="655"/>
      <c r="T38" s="655"/>
      <c r="U38" s="655"/>
      <c r="V38" s="655"/>
      <c r="W38" s="655"/>
      <c r="X38" s="655"/>
      <c r="Y38" s="655"/>
      <c r="Z38" s="657"/>
    </row>
    <row r="39" spans="1:26" s="609" customFormat="1" ht="12.75">
      <c r="A39" s="608"/>
      <c r="B39" s="839"/>
      <c r="C39" s="839"/>
      <c r="D39" s="656"/>
      <c r="E39" s="655"/>
      <c r="F39" s="655"/>
      <c r="G39" s="655"/>
      <c r="H39" s="655"/>
      <c r="I39" s="655"/>
      <c r="J39" s="838"/>
      <c r="K39" s="838"/>
      <c r="L39" s="655"/>
      <c r="M39" s="655"/>
      <c r="N39" s="655"/>
      <c r="O39" s="655"/>
      <c r="P39" s="655"/>
      <c r="Q39" s="655"/>
      <c r="R39" s="655"/>
      <c r="S39" s="655"/>
      <c r="T39" s="655"/>
      <c r="U39" s="655"/>
      <c r="V39" s="655"/>
      <c r="W39" s="655"/>
      <c r="X39" s="655"/>
      <c r="Y39" s="655"/>
      <c r="Z39" s="657"/>
    </row>
    <row r="40" spans="1:26" s="609" customFormat="1" ht="12.75">
      <c r="A40" s="608"/>
      <c r="B40" s="839"/>
      <c r="C40" s="839"/>
      <c r="D40" s="656"/>
      <c r="E40" s="655"/>
      <c r="F40" s="655"/>
      <c r="G40" s="655"/>
      <c r="H40" s="655"/>
      <c r="I40" s="655"/>
      <c r="J40" s="838"/>
      <c r="K40" s="838"/>
      <c r="L40" s="655"/>
      <c r="M40" s="655"/>
      <c r="N40" s="655"/>
      <c r="O40" s="655"/>
      <c r="P40" s="655"/>
      <c r="Q40" s="655"/>
      <c r="R40" s="655"/>
      <c r="S40" s="655"/>
      <c r="T40" s="655"/>
      <c r="U40" s="655"/>
      <c r="V40" s="655"/>
      <c r="W40" s="655"/>
      <c r="X40" s="655"/>
      <c r="Y40" s="655"/>
      <c r="Z40" s="657"/>
    </row>
    <row r="41" spans="1:26" s="609" customFormat="1" ht="12.75">
      <c r="A41" s="608"/>
      <c r="B41" s="839"/>
      <c r="C41" s="839"/>
      <c r="D41" s="656"/>
      <c r="E41" s="655"/>
      <c r="F41" s="655"/>
      <c r="G41" s="655"/>
      <c r="H41" s="655"/>
      <c r="I41" s="655"/>
      <c r="J41" s="838"/>
      <c r="K41" s="838"/>
      <c r="L41" s="655"/>
      <c r="M41" s="655"/>
      <c r="N41" s="655"/>
      <c r="O41" s="655"/>
      <c r="P41" s="655"/>
      <c r="Q41" s="655"/>
      <c r="R41" s="655"/>
      <c r="S41" s="655"/>
      <c r="T41" s="655"/>
      <c r="U41" s="655"/>
      <c r="V41" s="655"/>
      <c r="W41" s="655"/>
      <c r="X41" s="655"/>
      <c r="Y41" s="655"/>
      <c r="Z41" s="657"/>
    </row>
    <row r="42" spans="1:26" s="609" customFormat="1" ht="12.75">
      <c r="A42" s="608"/>
      <c r="B42" s="839"/>
      <c r="C42" s="839"/>
      <c r="D42" s="656"/>
      <c r="E42" s="655"/>
      <c r="F42" s="655"/>
      <c r="G42" s="655"/>
      <c r="H42" s="655"/>
      <c r="I42" s="655"/>
      <c r="J42" s="838"/>
      <c r="K42" s="838"/>
      <c r="L42" s="655"/>
      <c r="M42" s="655"/>
      <c r="N42" s="655"/>
      <c r="O42" s="655"/>
      <c r="P42" s="655"/>
      <c r="Q42" s="655"/>
      <c r="R42" s="655"/>
      <c r="S42" s="655"/>
      <c r="T42" s="655"/>
      <c r="U42" s="655"/>
      <c r="V42" s="655"/>
      <c r="W42" s="655"/>
      <c r="X42" s="655"/>
      <c r="Y42" s="655"/>
      <c r="Z42" s="657"/>
    </row>
    <row r="43" spans="1:26" s="609" customFormat="1" ht="12.75">
      <c r="A43" s="608"/>
      <c r="B43" s="839"/>
      <c r="C43" s="839"/>
      <c r="D43" s="656"/>
      <c r="E43" s="655"/>
      <c r="F43" s="655"/>
      <c r="G43" s="655"/>
      <c r="H43" s="655"/>
      <c r="I43" s="655"/>
      <c r="J43" s="838"/>
      <c r="K43" s="838"/>
      <c r="L43" s="655"/>
      <c r="M43" s="655"/>
      <c r="N43" s="655"/>
      <c r="O43" s="655"/>
      <c r="P43" s="655"/>
      <c r="Q43" s="655"/>
      <c r="R43" s="655"/>
      <c r="S43" s="655"/>
      <c r="T43" s="655"/>
      <c r="U43" s="655"/>
      <c r="V43" s="655"/>
      <c r="W43" s="655"/>
      <c r="X43" s="655"/>
      <c r="Y43" s="655"/>
      <c r="Z43" s="657"/>
    </row>
    <row r="44" spans="1:26" s="609" customFormat="1" ht="12.75">
      <c r="A44" s="608"/>
      <c r="B44" s="839"/>
      <c r="C44" s="839"/>
      <c r="D44" s="656"/>
      <c r="E44" s="655"/>
      <c r="F44" s="655"/>
      <c r="G44" s="655"/>
      <c r="H44" s="655"/>
      <c r="I44" s="655"/>
      <c r="J44" s="838"/>
      <c r="K44" s="838"/>
      <c r="L44" s="655"/>
      <c r="M44" s="655"/>
      <c r="N44" s="655"/>
      <c r="O44" s="655"/>
      <c r="P44" s="655"/>
      <c r="Q44" s="655"/>
      <c r="R44" s="655"/>
      <c r="S44" s="655"/>
      <c r="T44" s="655"/>
      <c r="U44" s="655"/>
      <c r="V44" s="655"/>
      <c r="W44" s="655"/>
      <c r="X44" s="655"/>
      <c r="Y44" s="655"/>
      <c r="Z44" s="657"/>
    </row>
    <row r="45" spans="1:26" s="609" customFormat="1" ht="12.75">
      <c r="A45" s="608"/>
      <c r="B45" s="839"/>
      <c r="C45" s="839"/>
      <c r="D45" s="656"/>
      <c r="E45" s="655"/>
      <c r="F45" s="655"/>
      <c r="G45" s="655"/>
      <c r="H45" s="655"/>
      <c r="I45" s="655"/>
      <c r="J45" s="838"/>
      <c r="K45" s="838"/>
      <c r="L45" s="655"/>
      <c r="M45" s="655"/>
      <c r="N45" s="655"/>
      <c r="O45" s="655"/>
      <c r="P45" s="655"/>
      <c r="Q45" s="655"/>
      <c r="R45" s="655"/>
      <c r="S45" s="655"/>
      <c r="T45" s="655"/>
      <c r="U45" s="655"/>
      <c r="V45" s="655"/>
      <c r="W45" s="655"/>
      <c r="X45" s="655"/>
      <c r="Y45" s="655"/>
      <c r="Z45" s="657"/>
    </row>
    <row r="46" spans="1:26" s="609" customFormat="1" ht="12.75">
      <c r="A46" s="608"/>
      <c r="B46" s="839"/>
      <c r="C46" s="839"/>
      <c r="D46" s="656"/>
      <c r="E46" s="655"/>
      <c r="F46" s="655"/>
      <c r="G46" s="655"/>
      <c r="H46" s="655"/>
      <c r="I46" s="655"/>
      <c r="J46" s="838"/>
      <c r="K46" s="838"/>
      <c r="L46" s="655"/>
      <c r="M46" s="655"/>
      <c r="N46" s="655"/>
      <c r="O46" s="655"/>
      <c r="P46" s="655"/>
      <c r="Q46" s="655"/>
      <c r="R46" s="655"/>
      <c r="S46" s="655"/>
      <c r="T46" s="655"/>
      <c r="U46" s="655"/>
      <c r="V46" s="655"/>
      <c r="W46" s="655"/>
      <c r="X46" s="655"/>
      <c r="Y46" s="655"/>
      <c r="Z46" s="657"/>
    </row>
    <row r="47" spans="1:26" s="609" customFormat="1" ht="12.75">
      <c r="A47" s="608"/>
      <c r="B47" s="839"/>
      <c r="C47" s="839"/>
      <c r="D47" s="656"/>
      <c r="E47" s="655"/>
      <c r="F47" s="655"/>
      <c r="G47" s="655"/>
      <c r="H47" s="655"/>
      <c r="I47" s="655"/>
      <c r="J47" s="838"/>
      <c r="K47" s="838"/>
      <c r="L47" s="655"/>
      <c r="M47" s="655"/>
      <c r="N47" s="655"/>
      <c r="O47" s="655"/>
      <c r="P47" s="655"/>
      <c r="Q47" s="655"/>
      <c r="R47" s="655"/>
      <c r="S47" s="655"/>
      <c r="T47" s="655"/>
      <c r="U47" s="655"/>
      <c r="V47" s="655"/>
      <c r="W47" s="655"/>
      <c r="X47" s="655"/>
      <c r="Y47" s="655"/>
      <c r="Z47" s="657"/>
    </row>
    <row r="48" spans="1:26" s="609" customFormat="1" ht="12.75">
      <c r="A48" s="608"/>
      <c r="B48" s="839"/>
      <c r="C48" s="839"/>
      <c r="D48" s="656"/>
      <c r="E48" s="655"/>
      <c r="F48" s="655"/>
      <c r="G48" s="655"/>
      <c r="H48" s="655"/>
      <c r="I48" s="655"/>
      <c r="J48" s="838"/>
      <c r="K48" s="838"/>
      <c r="L48" s="655"/>
      <c r="M48" s="655"/>
      <c r="N48" s="655"/>
      <c r="O48" s="655"/>
      <c r="P48" s="655"/>
      <c r="Q48" s="655"/>
      <c r="R48" s="655"/>
      <c r="S48" s="655"/>
      <c r="T48" s="655"/>
      <c r="U48" s="655"/>
      <c r="V48" s="655"/>
      <c r="W48" s="655"/>
      <c r="X48" s="655"/>
      <c r="Y48" s="655"/>
      <c r="Z48" s="657"/>
    </row>
    <row r="49" spans="1:26" s="609" customFormat="1" ht="12.75">
      <c r="A49" s="608"/>
      <c r="B49" s="839"/>
      <c r="C49" s="839"/>
      <c r="D49" s="656"/>
      <c r="E49" s="655"/>
      <c r="F49" s="655"/>
      <c r="G49" s="655"/>
      <c r="H49" s="655"/>
      <c r="I49" s="655"/>
      <c r="J49" s="838"/>
      <c r="K49" s="838"/>
      <c r="L49" s="655"/>
      <c r="M49" s="655"/>
      <c r="N49" s="655"/>
      <c r="O49" s="655"/>
      <c r="P49" s="655"/>
      <c r="Q49" s="655"/>
      <c r="R49" s="655"/>
      <c r="S49" s="655"/>
      <c r="T49" s="655"/>
      <c r="U49" s="655"/>
      <c r="V49" s="655"/>
      <c r="W49" s="655"/>
      <c r="X49" s="655"/>
      <c r="Y49" s="655"/>
      <c r="Z49" s="657"/>
    </row>
    <row r="50" spans="1:26" s="609" customFormat="1" ht="12.75">
      <c r="A50" s="610"/>
      <c r="B50" s="839"/>
      <c r="C50" s="839"/>
      <c r="D50" s="656"/>
      <c r="E50" s="655"/>
      <c r="F50" s="655"/>
      <c r="G50" s="655"/>
      <c r="H50" s="655"/>
      <c r="I50" s="655"/>
      <c r="J50" s="838"/>
      <c r="K50" s="838"/>
      <c r="L50" s="655"/>
      <c r="M50" s="655"/>
      <c r="N50" s="655"/>
      <c r="O50" s="655"/>
      <c r="P50" s="655"/>
      <c r="Q50" s="655"/>
      <c r="R50" s="655"/>
      <c r="S50" s="655"/>
      <c r="T50" s="655"/>
      <c r="U50" s="655"/>
      <c r="V50" s="655"/>
      <c r="W50" s="655"/>
      <c r="X50" s="655"/>
      <c r="Y50" s="655"/>
      <c r="Z50" s="657"/>
    </row>
    <row r="51" spans="1:26" s="609" customFormat="1" ht="12.75">
      <c r="A51" s="610"/>
      <c r="B51" s="839"/>
      <c r="C51" s="839"/>
      <c r="D51" s="655"/>
      <c r="E51" s="655"/>
      <c r="F51" s="655"/>
      <c r="G51" s="655"/>
      <c r="H51" s="655"/>
      <c r="I51" s="655"/>
      <c r="J51" s="838"/>
      <c r="K51" s="838"/>
      <c r="L51" s="655"/>
      <c r="M51" s="655"/>
      <c r="N51" s="655"/>
      <c r="O51" s="655"/>
      <c r="P51" s="655"/>
      <c r="Q51" s="655"/>
      <c r="R51" s="655"/>
      <c r="S51" s="655"/>
      <c r="T51" s="655"/>
      <c r="U51" s="655"/>
      <c r="V51" s="655"/>
      <c r="W51" s="655"/>
      <c r="X51" s="655"/>
      <c r="Y51" s="655"/>
      <c r="Z51" s="657"/>
    </row>
    <row r="52" spans="1:26" s="609" customFormat="1" ht="12.75">
      <c r="A52" s="610"/>
      <c r="B52" s="839"/>
      <c r="C52" s="839"/>
      <c r="D52" s="655"/>
      <c r="E52" s="655"/>
      <c r="F52" s="655"/>
      <c r="G52" s="655"/>
      <c r="H52" s="655"/>
      <c r="I52" s="655"/>
      <c r="J52" s="838"/>
      <c r="K52" s="838"/>
      <c r="L52" s="655"/>
      <c r="M52" s="655"/>
      <c r="N52" s="655"/>
      <c r="O52" s="655"/>
      <c r="P52" s="655"/>
      <c r="Q52" s="655"/>
      <c r="R52" s="655"/>
      <c r="S52" s="655"/>
      <c r="T52" s="655"/>
      <c r="U52" s="655"/>
      <c r="V52" s="655"/>
      <c r="W52" s="655"/>
      <c r="X52" s="655"/>
      <c r="Y52" s="655"/>
      <c r="Z52" s="657"/>
    </row>
    <row r="53" spans="1:26" s="609" customFormat="1" ht="12.75">
      <c r="A53" s="610"/>
      <c r="B53" s="839"/>
      <c r="C53" s="839"/>
      <c r="D53" s="655"/>
      <c r="E53" s="655"/>
      <c r="F53" s="655"/>
      <c r="G53" s="655"/>
      <c r="H53" s="655"/>
      <c r="I53" s="655"/>
      <c r="J53" s="838"/>
      <c r="K53" s="838"/>
      <c r="L53" s="655"/>
      <c r="M53" s="655"/>
      <c r="N53" s="655"/>
      <c r="O53" s="655"/>
      <c r="P53" s="655"/>
      <c r="Q53" s="655"/>
      <c r="R53" s="655"/>
      <c r="S53" s="655"/>
      <c r="T53" s="655"/>
      <c r="U53" s="655"/>
      <c r="V53" s="655"/>
      <c r="W53" s="655"/>
      <c r="X53" s="655"/>
      <c r="Y53" s="655"/>
      <c r="Z53" s="657"/>
    </row>
    <row r="54" spans="1:26" s="609" customFormat="1" ht="12.75">
      <c r="A54" s="610"/>
      <c r="B54" s="839"/>
      <c r="C54" s="839"/>
      <c r="D54" s="655"/>
      <c r="E54" s="655"/>
      <c r="F54" s="655"/>
      <c r="G54" s="655"/>
      <c r="H54" s="655"/>
      <c r="I54" s="655"/>
      <c r="J54" s="838"/>
      <c r="K54" s="838"/>
      <c r="L54" s="655"/>
      <c r="M54" s="655"/>
      <c r="N54" s="655"/>
      <c r="O54" s="655"/>
      <c r="P54" s="655"/>
      <c r="Q54" s="655"/>
      <c r="R54" s="655"/>
      <c r="S54" s="655"/>
      <c r="T54" s="655"/>
      <c r="U54" s="655"/>
      <c r="V54" s="655"/>
      <c r="W54" s="655"/>
      <c r="X54" s="655"/>
      <c r="Y54" s="655"/>
      <c r="Z54" s="657"/>
    </row>
    <row r="55" spans="1:26" s="609" customFormat="1" ht="12.75">
      <c r="A55" s="610"/>
      <c r="B55" s="839"/>
      <c r="C55" s="839"/>
      <c r="D55" s="655"/>
      <c r="E55" s="655"/>
      <c r="F55" s="655"/>
      <c r="G55" s="655"/>
      <c r="H55" s="655"/>
      <c r="I55" s="655"/>
      <c r="J55" s="838"/>
      <c r="K55" s="838"/>
      <c r="L55" s="655"/>
      <c r="M55" s="655"/>
      <c r="N55" s="655"/>
      <c r="O55" s="655"/>
      <c r="P55" s="655"/>
      <c r="Q55" s="655"/>
      <c r="R55" s="655"/>
      <c r="S55" s="655"/>
      <c r="T55" s="655"/>
      <c r="U55" s="655"/>
      <c r="V55" s="655"/>
      <c r="W55" s="655"/>
      <c r="X55" s="655"/>
      <c r="Y55" s="655"/>
      <c r="Z55" s="657"/>
    </row>
    <row r="56" spans="1:26" s="609" customFormat="1" ht="12.75">
      <c r="A56" s="610"/>
      <c r="B56" s="839"/>
      <c r="C56" s="839"/>
      <c r="D56" s="655"/>
      <c r="E56" s="655"/>
      <c r="F56" s="655"/>
      <c r="G56" s="655"/>
      <c r="H56" s="655"/>
      <c r="I56" s="655"/>
      <c r="J56" s="838"/>
      <c r="K56" s="838"/>
      <c r="L56" s="655"/>
      <c r="M56" s="655"/>
      <c r="N56" s="655"/>
      <c r="O56" s="655"/>
      <c r="P56" s="655"/>
      <c r="Q56" s="655"/>
      <c r="R56" s="655"/>
      <c r="S56" s="655"/>
      <c r="T56" s="655"/>
      <c r="U56" s="655"/>
      <c r="V56" s="655"/>
      <c r="W56" s="655"/>
      <c r="X56" s="655"/>
      <c r="Y56" s="655"/>
      <c r="Z56" s="657"/>
    </row>
    <row r="57" spans="1:26" s="588" customFormat="1">
      <c r="A57" s="611" t="s">
        <v>281</v>
      </c>
      <c r="B57" s="612"/>
      <c r="C57" s="612"/>
      <c r="D57" s="612"/>
      <c r="E57" s="612"/>
      <c r="F57" s="612"/>
      <c r="G57" s="612"/>
      <c r="H57" s="612"/>
      <c r="I57" s="612"/>
      <c r="J57" s="612"/>
      <c r="K57" s="612"/>
      <c r="L57" s="613"/>
      <c r="M57" s="613">
        <f>SUM(M27:M56)</f>
        <v>0</v>
      </c>
      <c r="N57" s="613">
        <f>SUM(N27:N56)</f>
        <v>0</v>
      </c>
      <c r="O57" s="613">
        <f t="shared" ref="O57:W57" si="2">SUM(O27:O56)</f>
        <v>0</v>
      </c>
      <c r="P57" s="613">
        <f t="shared" si="2"/>
        <v>0</v>
      </c>
      <c r="Q57" s="613">
        <f t="shared" si="2"/>
        <v>0</v>
      </c>
      <c r="R57" s="613">
        <f t="shared" si="2"/>
        <v>0</v>
      </c>
      <c r="S57" s="613">
        <f t="shared" si="2"/>
        <v>0</v>
      </c>
      <c r="T57" s="613">
        <f t="shared" si="2"/>
        <v>0</v>
      </c>
      <c r="U57" s="613">
        <f t="shared" si="2"/>
        <v>0</v>
      </c>
      <c r="V57" s="613">
        <f t="shared" si="2"/>
        <v>0</v>
      </c>
      <c r="W57" s="613">
        <f t="shared" si="2"/>
        <v>0</v>
      </c>
      <c r="X57" s="614"/>
      <c r="Y57" s="614"/>
      <c r="Z57" s="615"/>
    </row>
    <row r="58" spans="1:26" s="588" customFormat="1">
      <c r="A58" s="611" t="s">
        <v>288</v>
      </c>
      <c r="B58" s="612"/>
      <c r="C58" s="612"/>
      <c r="D58" s="612"/>
      <c r="E58" s="612"/>
      <c r="F58" s="612"/>
      <c r="G58" s="612"/>
      <c r="H58" s="612"/>
      <c r="I58" s="612"/>
      <c r="J58" s="612"/>
      <c r="K58" s="612"/>
      <c r="L58" s="613"/>
      <c r="M58" s="613">
        <f>SUMIF($Z$27:$Z$56,"industrie",M27:M56)</f>
        <v>0</v>
      </c>
      <c r="N58" s="613">
        <f t="shared" ref="N58:W58" si="3">SUMIF($Z$27:$Z$56,"industrie",N27:N56)</f>
        <v>0</v>
      </c>
      <c r="O58" s="613">
        <f t="shared" si="3"/>
        <v>0</v>
      </c>
      <c r="P58" s="613">
        <f t="shared" si="3"/>
        <v>0</v>
      </c>
      <c r="Q58" s="613">
        <f t="shared" si="3"/>
        <v>0</v>
      </c>
      <c r="R58" s="613">
        <f t="shared" si="3"/>
        <v>0</v>
      </c>
      <c r="S58" s="613">
        <f t="shared" si="3"/>
        <v>0</v>
      </c>
      <c r="T58" s="613">
        <f t="shared" si="3"/>
        <v>0</v>
      </c>
      <c r="U58" s="613">
        <f t="shared" si="3"/>
        <v>0</v>
      </c>
      <c r="V58" s="613">
        <f t="shared" si="3"/>
        <v>0</v>
      </c>
      <c r="W58" s="613">
        <f t="shared" si="3"/>
        <v>0</v>
      </c>
      <c r="X58" s="614"/>
      <c r="Y58" s="614"/>
      <c r="Z58" s="615"/>
    </row>
    <row r="59" spans="1:26" s="588" customFormat="1">
      <c r="A59" s="611" t="s">
        <v>289</v>
      </c>
      <c r="B59" s="612"/>
      <c r="C59" s="612"/>
      <c r="D59" s="612"/>
      <c r="E59" s="612"/>
      <c r="F59" s="612"/>
      <c r="G59" s="612"/>
      <c r="H59" s="612"/>
      <c r="I59" s="612"/>
      <c r="J59" s="612"/>
      <c r="K59" s="612"/>
      <c r="L59" s="613"/>
      <c r="M59" s="613">
        <f ca="1">SUMIF($Z$27:AA56,"tertiair",M27:M56)</f>
        <v>0</v>
      </c>
      <c r="N59" s="613">
        <f ca="1">SUMIF($Z$27:AB56,"tertiair",N27:N56)</f>
        <v>0</v>
      </c>
      <c r="O59" s="613">
        <f ca="1">SUMIF($Z$27:AC56,"tertiair",O27:O56)</f>
        <v>0</v>
      </c>
      <c r="P59" s="613">
        <f ca="1">SUMIF($Z$27:AD56,"tertiair",P27:P56)</f>
        <v>0</v>
      </c>
      <c r="Q59" s="613">
        <f ca="1">SUMIF($Z$27:AE56,"tertiair",Q27:Q56)</f>
        <v>0</v>
      </c>
      <c r="R59" s="613">
        <f ca="1">SUMIF($Z$27:AF56,"tertiair",R27:R56)</f>
        <v>0</v>
      </c>
      <c r="S59" s="613">
        <f ca="1">SUMIF($Z$27:AG56,"tertiair",S27:S56)</f>
        <v>0</v>
      </c>
      <c r="T59" s="613">
        <f ca="1">SUMIF($Z$27:AH56,"tertiair",T27:T56)</f>
        <v>0</v>
      </c>
      <c r="U59" s="613">
        <f ca="1">SUMIF($Z$27:AI56,"tertiair",U27:U56)</f>
        <v>0</v>
      </c>
      <c r="V59" s="613">
        <f ca="1">SUMIF($Z$27:AJ56,"tertiair",V27:V56)</f>
        <v>0</v>
      </c>
      <c r="W59" s="613">
        <f ca="1">SUMIF($Z$27:AK56,"tertiair",W27:W56)</f>
        <v>0</v>
      </c>
      <c r="X59" s="614"/>
      <c r="Y59" s="614"/>
      <c r="Z59" s="615"/>
    </row>
    <row r="60" spans="1:26" s="588" customFormat="1" ht="15.75" thickBot="1">
      <c r="A60" s="616" t="s">
        <v>290</v>
      </c>
      <c r="B60" s="617"/>
      <c r="C60" s="617"/>
      <c r="D60" s="617"/>
      <c r="E60" s="617"/>
      <c r="F60" s="617"/>
      <c r="G60" s="617"/>
      <c r="H60" s="617"/>
      <c r="I60" s="617"/>
      <c r="J60" s="617"/>
      <c r="K60" s="617"/>
      <c r="L60" s="618"/>
      <c r="M60" s="618">
        <f>SUMIF($Z$27:$Z$56,"landbouw",M27:M56)</f>
        <v>0</v>
      </c>
      <c r="N60" s="618">
        <f t="shared" ref="N60:W60" si="4">SUMIF($Z$27:$Z$56,"landbouw",N27:N56)</f>
        <v>0</v>
      </c>
      <c r="O60" s="618">
        <f t="shared" si="4"/>
        <v>0</v>
      </c>
      <c r="P60" s="618">
        <f t="shared" si="4"/>
        <v>0</v>
      </c>
      <c r="Q60" s="618">
        <f t="shared" si="4"/>
        <v>0</v>
      </c>
      <c r="R60" s="618">
        <f t="shared" si="4"/>
        <v>0</v>
      </c>
      <c r="S60" s="618">
        <f t="shared" si="4"/>
        <v>0</v>
      </c>
      <c r="T60" s="618">
        <f t="shared" si="4"/>
        <v>0</v>
      </c>
      <c r="U60" s="618">
        <f t="shared" si="4"/>
        <v>0</v>
      </c>
      <c r="V60" s="618">
        <f t="shared" si="4"/>
        <v>0</v>
      </c>
      <c r="W60" s="618">
        <f t="shared" si="4"/>
        <v>0</v>
      </c>
      <c r="X60" s="619"/>
      <c r="Y60" s="619"/>
      <c r="Z60" s="620"/>
    </row>
    <row r="61" spans="1:26" s="547" customFormat="1" ht="15.75" thickBot="1">
      <c r="A61" s="621"/>
      <c r="B61" s="622"/>
      <c r="C61" s="622"/>
      <c r="D61" s="622"/>
      <c r="E61" s="622"/>
      <c r="F61" s="622"/>
      <c r="G61" s="622"/>
      <c r="H61" s="622"/>
      <c r="I61" s="622"/>
      <c r="J61" s="622"/>
      <c r="K61" s="622"/>
      <c r="L61" s="605"/>
      <c r="M61" s="605"/>
      <c r="N61" s="605"/>
      <c r="O61" s="606"/>
      <c r="P61" s="606"/>
    </row>
    <row r="62" spans="1:26" s="547" customFormat="1" ht="45">
      <c r="A62" s="623" t="s">
        <v>282</v>
      </c>
      <c r="B62" s="652" t="s">
        <v>90</v>
      </c>
      <c r="C62" s="652" t="s">
        <v>91</v>
      </c>
      <c r="D62" s="652" t="s">
        <v>92</v>
      </c>
      <c r="E62" s="652" t="s">
        <v>93</v>
      </c>
      <c r="F62" s="652" t="s">
        <v>94</v>
      </c>
      <c r="G62" s="652" t="s">
        <v>95</v>
      </c>
      <c r="H62" s="652" t="s">
        <v>96</v>
      </c>
      <c r="I62" s="652" t="s">
        <v>97</v>
      </c>
      <c r="J62" s="652" t="s">
        <v>98</v>
      </c>
      <c r="K62" s="652" t="s">
        <v>99</v>
      </c>
      <c r="L62" s="652" t="s">
        <v>100</v>
      </c>
      <c r="M62" s="653" t="s">
        <v>299</v>
      </c>
      <c r="N62" s="653" t="s">
        <v>101</v>
      </c>
      <c r="O62" s="653" t="s">
        <v>102</v>
      </c>
      <c r="P62" s="653" t="s">
        <v>547</v>
      </c>
      <c r="Q62" s="653" t="s">
        <v>103</v>
      </c>
      <c r="R62" s="653" t="s">
        <v>104</v>
      </c>
      <c r="S62" s="653" t="s">
        <v>105</v>
      </c>
      <c r="T62" s="653" t="s">
        <v>106</v>
      </c>
      <c r="U62" s="653" t="s">
        <v>107</v>
      </c>
      <c r="V62" s="653" t="s">
        <v>108</v>
      </c>
      <c r="W62" s="652" t="s">
        <v>109</v>
      </c>
      <c r="X62" s="652" t="s">
        <v>300</v>
      </c>
      <c r="Y62" s="652" t="s">
        <v>110</v>
      </c>
      <c r="Z62" s="654" t="s">
        <v>301</v>
      </c>
    </row>
    <row r="63" spans="1:26" s="624" customFormat="1" ht="12.75">
      <c r="A63" s="610"/>
      <c r="B63" s="839"/>
      <c r="C63" s="839"/>
      <c r="D63" s="658"/>
      <c r="E63" s="658"/>
      <c r="F63" s="658"/>
      <c r="G63" s="658"/>
      <c r="H63" s="658"/>
      <c r="I63" s="658"/>
      <c r="J63" s="838"/>
      <c r="K63" s="838"/>
      <c r="L63" s="658"/>
      <c r="M63" s="658"/>
      <c r="N63" s="658"/>
      <c r="O63" s="658"/>
      <c r="P63" s="658"/>
      <c r="Q63" s="658"/>
      <c r="R63" s="658"/>
      <c r="S63" s="658"/>
      <c r="T63" s="658"/>
      <c r="U63" s="658"/>
      <c r="V63" s="658"/>
      <c r="W63" s="658"/>
      <c r="X63" s="658"/>
      <c r="Y63" s="658"/>
      <c r="Z63" s="659"/>
    </row>
    <row r="64" spans="1:26" s="624" customFormat="1" ht="12.75">
      <c r="A64" s="610"/>
      <c r="B64" s="839"/>
      <c r="C64" s="839"/>
      <c r="D64" s="658"/>
      <c r="E64" s="658"/>
      <c r="F64" s="658"/>
      <c r="G64" s="658"/>
      <c r="H64" s="658"/>
      <c r="I64" s="658"/>
      <c r="J64" s="838"/>
      <c r="K64" s="838"/>
      <c r="L64" s="658"/>
      <c r="M64" s="658"/>
      <c r="N64" s="658"/>
      <c r="O64" s="658"/>
      <c r="P64" s="658"/>
      <c r="Q64" s="658"/>
      <c r="R64" s="658"/>
      <c r="S64" s="658"/>
      <c r="T64" s="658"/>
      <c r="U64" s="658"/>
      <c r="V64" s="658"/>
      <c r="W64" s="658"/>
      <c r="X64" s="658"/>
      <c r="Y64" s="658"/>
      <c r="Z64" s="659"/>
    </row>
    <row r="65" spans="1:26" s="624" customFormat="1" ht="12.75">
      <c r="A65" s="610"/>
      <c r="B65" s="839"/>
      <c r="C65" s="839"/>
      <c r="D65" s="658"/>
      <c r="E65" s="658"/>
      <c r="F65" s="658"/>
      <c r="G65" s="658"/>
      <c r="H65" s="658"/>
      <c r="I65" s="658"/>
      <c r="J65" s="838"/>
      <c r="K65" s="838"/>
      <c r="L65" s="658"/>
      <c r="M65" s="658"/>
      <c r="N65" s="658"/>
      <c r="O65" s="658"/>
      <c r="P65" s="658"/>
      <c r="Q65" s="658"/>
      <c r="R65" s="658"/>
      <c r="S65" s="658"/>
      <c r="T65" s="658"/>
      <c r="U65" s="658"/>
      <c r="V65" s="658"/>
      <c r="W65" s="658"/>
      <c r="X65" s="658"/>
      <c r="Y65" s="658"/>
      <c r="Z65" s="659"/>
    </row>
    <row r="66" spans="1:26" s="624" customFormat="1" ht="12.75">
      <c r="A66" s="610"/>
      <c r="B66" s="839"/>
      <c r="C66" s="839"/>
      <c r="D66" s="658"/>
      <c r="E66" s="658"/>
      <c r="F66" s="658"/>
      <c r="G66" s="658"/>
      <c r="H66" s="658"/>
      <c r="I66" s="658"/>
      <c r="J66" s="838"/>
      <c r="K66" s="838"/>
      <c r="L66" s="658"/>
      <c r="M66" s="658"/>
      <c r="N66" s="658"/>
      <c r="O66" s="658"/>
      <c r="P66" s="658"/>
      <c r="Q66" s="658"/>
      <c r="R66" s="658"/>
      <c r="S66" s="658"/>
      <c r="T66" s="658"/>
      <c r="U66" s="658"/>
      <c r="V66" s="658"/>
      <c r="W66" s="658"/>
      <c r="X66" s="658"/>
      <c r="Y66" s="658"/>
      <c r="Z66" s="659"/>
    </row>
    <row r="67" spans="1:26" s="624" customFormat="1" ht="12.75">
      <c r="A67" s="610"/>
      <c r="B67" s="839"/>
      <c r="C67" s="839"/>
      <c r="D67" s="658"/>
      <c r="E67" s="658"/>
      <c r="F67" s="658"/>
      <c r="G67" s="658"/>
      <c r="H67" s="658"/>
      <c r="I67" s="658"/>
      <c r="J67" s="838"/>
      <c r="K67" s="838"/>
      <c r="L67" s="658"/>
      <c r="M67" s="658"/>
      <c r="N67" s="658"/>
      <c r="O67" s="658"/>
      <c r="P67" s="658"/>
      <c r="Q67" s="658"/>
      <c r="R67" s="658"/>
      <c r="S67" s="658"/>
      <c r="T67" s="658"/>
      <c r="U67" s="658"/>
      <c r="V67" s="658"/>
      <c r="W67" s="658"/>
      <c r="X67" s="658"/>
      <c r="Y67" s="658"/>
      <c r="Z67" s="659"/>
    </row>
    <row r="68" spans="1:26" s="624" customFormat="1" ht="12.75">
      <c r="A68" s="610"/>
      <c r="B68" s="839"/>
      <c r="C68" s="839"/>
      <c r="D68" s="658"/>
      <c r="E68" s="658"/>
      <c r="F68" s="658"/>
      <c r="G68" s="658"/>
      <c r="H68" s="658"/>
      <c r="I68" s="658"/>
      <c r="J68" s="838"/>
      <c r="K68" s="838"/>
      <c r="L68" s="658"/>
      <c r="M68" s="658"/>
      <c r="N68" s="658"/>
      <c r="O68" s="658"/>
      <c r="P68" s="658"/>
      <c r="Q68" s="658"/>
      <c r="R68" s="658"/>
      <c r="S68" s="658"/>
      <c r="T68" s="658"/>
      <c r="U68" s="658"/>
      <c r="V68" s="658"/>
      <c r="W68" s="658"/>
      <c r="X68" s="658"/>
      <c r="Y68" s="658"/>
      <c r="Z68" s="659"/>
    </row>
    <row r="69" spans="1:26" s="624" customFormat="1" ht="12.75">
      <c r="A69" s="610"/>
      <c r="B69" s="839"/>
      <c r="C69" s="839"/>
      <c r="D69" s="658"/>
      <c r="E69" s="658"/>
      <c r="F69" s="658"/>
      <c r="G69" s="658"/>
      <c r="H69" s="658"/>
      <c r="I69" s="658"/>
      <c r="J69" s="838"/>
      <c r="K69" s="838"/>
      <c r="L69" s="658"/>
      <c r="M69" s="658"/>
      <c r="N69" s="658"/>
      <c r="O69" s="658"/>
      <c r="P69" s="658"/>
      <c r="Q69" s="658"/>
      <c r="R69" s="658"/>
      <c r="S69" s="658"/>
      <c r="T69" s="658"/>
      <c r="U69" s="658"/>
      <c r="V69" s="658"/>
      <c r="W69" s="658"/>
      <c r="X69" s="658"/>
      <c r="Y69" s="658"/>
      <c r="Z69" s="659"/>
    </row>
    <row r="70" spans="1:26" s="624" customFormat="1" ht="12.75">
      <c r="A70" s="610"/>
      <c r="B70" s="839"/>
      <c r="C70" s="839"/>
      <c r="D70" s="658"/>
      <c r="E70" s="658"/>
      <c r="F70" s="658"/>
      <c r="G70" s="658"/>
      <c r="H70" s="658"/>
      <c r="I70" s="658"/>
      <c r="J70" s="838"/>
      <c r="K70" s="838"/>
      <c r="L70" s="658"/>
      <c r="M70" s="658"/>
      <c r="N70" s="658"/>
      <c r="O70" s="658"/>
      <c r="P70" s="658"/>
      <c r="Q70" s="658"/>
      <c r="R70" s="658"/>
      <c r="S70" s="658"/>
      <c r="T70" s="658"/>
      <c r="U70" s="658"/>
      <c r="V70" s="658"/>
      <c r="W70" s="658"/>
      <c r="X70" s="658"/>
      <c r="Y70" s="658"/>
      <c r="Z70" s="659"/>
    </row>
    <row r="71" spans="1:26" s="624" customFormat="1" ht="12.75">
      <c r="A71" s="610"/>
      <c r="B71" s="839"/>
      <c r="C71" s="839"/>
      <c r="D71" s="658"/>
      <c r="E71" s="658"/>
      <c r="F71" s="658"/>
      <c r="G71" s="658"/>
      <c r="H71" s="658"/>
      <c r="I71" s="658"/>
      <c r="J71" s="838"/>
      <c r="K71" s="838"/>
      <c r="L71" s="658"/>
      <c r="M71" s="658"/>
      <c r="N71" s="658"/>
      <c r="O71" s="658"/>
      <c r="P71" s="658"/>
      <c r="Q71" s="658"/>
      <c r="R71" s="658"/>
      <c r="S71" s="658"/>
      <c r="T71" s="658"/>
      <c r="U71" s="658"/>
      <c r="V71" s="658"/>
      <c r="W71" s="658"/>
      <c r="X71" s="658"/>
      <c r="Y71" s="658"/>
      <c r="Z71" s="659"/>
    </row>
    <row r="72" spans="1:26" s="624" customFormat="1" ht="12.75">
      <c r="A72" s="610"/>
      <c r="B72" s="839"/>
      <c r="C72" s="839"/>
      <c r="D72" s="658"/>
      <c r="E72" s="658"/>
      <c r="F72" s="658"/>
      <c r="G72" s="658"/>
      <c r="H72" s="658"/>
      <c r="I72" s="658"/>
      <c r="J72" s="838"/>
      <c r="K72" s="838"/>
      <c r="L72" s="658"/>
      <c r="M72" s="658"/>
      <c r="N72" s="658"/>
      <c r="O72" s="658"/>
      <c r="P72" s="658"/>
      <c r="Q72" s="658"/>
      <c r="R72" s="658"/>
      <c r="S72" s="658"/>
      <c r="T72" s="658"/>
      <c r="U72" s="658"/>
      <c r="V72" s="658"/>
      <c r="W72" s="658"/>
      <c r="X72" s="658"/>
      <c r="Y72" s="658"/>
      <c r="Z72" s="659"/>
    </row>
    <row r="73" spans="1:26" s="624" customFormat="1" ht="12.75">
      <c r="A73" s="610"/>
      <c r="B73" s="839"/>
      <c r="C73" s="839"/>
      <c r="D73" s="658"/>
      <c r="E73" s="658"/>
      <c r="F73" s="658"/>
      <c r="G73" s="658"/>
      <c r="H73" s="658"/>
      <c r="I73" s="658"/>
      <c r="J73" s="838"/>
      <c r="K73" s="838"/>
      <c r="L73" s="658"/>
      <c r="M73" s="658"/>
      <c r="N73" s="658"/>
      <c r="O73" s="658"/>
      <c r="P73" s="658"/>
      <c r="Q73" s="658"/>
      <c r="R73" s="658"/>
      <c r="S73" s="658"/>
      <c r="T73" s="658"/>
      <c r="U73" s="658"/>
      <c r="V73" s="658"/>
      <c r="W73" s="658"/>
      <c r="X73" s="658"/>
      <c r="Y73" s="658"/>
      <c r="Z73" s="659"/>
    </row>
    <row r="74" spans="1:26" s="624" customFormat="1" ht="12.75">
      <c r="A74" s="610"/>
      <c r="B74" s="839"/>
      <c r="C74" s="839"/>
      <c r="D74" s="658"/>
      <c r="E74" s="658"/>
      <c r="F74" s="658"/>
      <c r="G74" s="658"/>
      <c r="H74" s="658"/>
      <c r="I74" s="658"/>
      <c r="J74" s="838"/>
      <c r="K74" s="838"/>
      <c r="L74" s="658"/>
      <c r="M74" s="658"/>
      <c r="N74" s="658"/>
      <c r="O74" s="658"/>
      <c r="P74" s="658"/>
      <c r="Q74" s="658"/>
      <c r="R74" s="658"/>
      <c r="S74" s="658"/>
      <c r="T74" s="658"/>
      <c r="U74" s="658"/>
      <c r="V74" s="658"/>
      <c r="W74" s="658"/>
      <c r="X74" s="658"/>
      <c r="Y74" s="658"/>
      <c r="Z74" s="659"/>
    </row>
    <row r="75" spans="1:26" s="624" customFormat="1" ht="12.75">
      <c r="A75" s="610"/>
      <c r="B75" s="839"/>
      <c r="C75" s="839"/>
      <c r="D75" s="658"/>
      <c r="E75" s="658"/>
      <c r="F75" s="658"/>
      <c r="G75" s="658"/>
      <c r="H75" s="658"/>
      <c r="I75" s="658"/>
      <c r="J75" s="838"/>
      <c r="K75" s="838"/>
      <c r="L75" s="658"/>
      <c r="M75" s="658"/>
      <c r="N75" s="658"/>
      <c r="O75" s="658"/>
      <c r="P75" s="658"/>
      <c r="Q75" s="658"/>
      <c r="R75" s="658"/>
      <c r="S75" s="658"/>
      <c r="T75" s="658"/>
      <c r="U75" s="658"/>
      <c r="V75" s="658"/>
      <c r="W75" s="658"/>
      <c r="X75" s="658"/>
      <c r="Y75" s="658"/>
      <c r="Z75" s="659"/>
    </row>
    <row r="76" spans="1:26" s="624" customFormat="1" ht="12.75">
      <c r="A76" s="610"/>
      <c r="B76" s="839"/>
      <c r="C76" s="839"/>
      <c r="D76" s="658"/>
      <c r="E76" s="658"/>
      <c r="F76" s="658"/>
      <c r="G76" s="658"/>
      <c r="H76" s="658"/>
      <c r="I76" s="658"/>
      <c r="J76" s="838"/>
      <c r="K76" s="838"/>
      <c r="L76" s="658"/>
      <c r="M76" s="658"/>
      <c r="N76" s="658"/>
      <c r="O76" s="658"/>
      <c r="P76" s="658"/>
      <c r="Q76" s="658"/>
      <c r="R76" s="658"/>
      <c r="S76" s="658"/>
      <c r="T76" s="658"/>
      <c r="U76" s="658"/>
      <c r="V76" s="658"/>
      <c r="W76" s="658"/>
      <c r="X76" s="658"/>
      <c r="Y76" s="658"/>
      <c r="Z76" s="659"/>
    </row>
    <row r="77" spans="1:26" s="624" customFormat="1" ht="12.75">
      <c r="A77" s="610"/>
      <c r="B77" s="839"/>
      <c r="C77" s="839"/>
      <c r="D77" s="658"/>
      <c r="E77" s="658"/>
      <c r="F77" s="658"/>
      <c r="G77" s="658"/>
      <c r="H77" s="658"/>
      <c r="I77" s="658"/>
      <c r="J77" s="838"/>
      <c r="K77" s="838"/>
      <c r="L77" s="658"/>
      <c r="M77" s="658"/>
      <c r="N77" s="658"/>
      <c r="O77" s="658"/>
      <c r="P77" s="658"/>
      <c r="Q77" s="658"/>
      <c r="R77" s="658"/>
      <c r="S77" s="658"/>
      <c r="T77" s="658"/>
      <c r="U77" s="658"/>
      <c r="V77" s="658"/>
      <c r="W77" s="658"/>
      <c r="X77" s="658"/>
      <c r="Y77" s="658"/>
      <c r="Z77" s="659"/>
    </row>
    <row r="78" spans="1:26" s="624" customFormat="1" ht="12.75">
      <c r="A78" s="610"/>
      <c r="B78" s="839"/>
      <c r="C78" s="839"/>
      <c r="D78" s="658"/>
      <c r="E78" s="658"/>
      <c r="F78" s="658"/>
      <c r="G78" s="658"/>
      <c r="H78" s="658"/>
      <c r="I78" s="658"/>
      <c r="J78" s="838"/>
      <c r="K78" s="838"/>
      <c r="L78" s="658"/>
      <c r="M78" s="658"/>
      <c r="N78" s="658"/>
      <c r="O78" s="658"/>
      <c r="P78" s="658"/>
      <c r="Q78" s="658"/>
      <c r="R78" s="658"/>
      <c r="S78" s="658"/>
      <c r="T78" s="658"/>
      <c r="U78" s="658"/>
      <c r="V78" s="658"/>
      <c r="W78" s="658"/>
      <c r="X78" s="658"/>
      <c r="Y78" s="658"/>
      <c r="Z78" s="659"/>
    </row>
    <row r="79" spans="1:26" s="624" customFormat="1" ht="12.75">
      <c r="A79" s="610"/>
      <c r="B79" s="839"/>
      <c r="C79" s="839"/>
      <c r="D79" s="658"/>
      <c r="E79" s="658"/>
      <c r="F79" s="658"/>
      <c r="G79" s="658"/>
      <c r="H79" s="658"/>
      <c r="I79" s="658"/>
      <c r="J79" s="838"/>
      <c r="K79" s="838"/>
      <c r="L79" s="658"/>
      <c r="M79" s="658"/>
      <c r="N79" s="658"/>
      <c r="O79" s="658"/>
      <c r="P79" s="658"/>
      <c r="Q79" s="658"/>
      <c r="R79" s="658"/>
      <c r="S79" s="658"/>
      <c r="T79" s="658"/>
      <c r="U79" s="658"/>
      <c r="V79" s="658"/>
      <c r="W79" s="658"/>
      <c r="X79" s="658"/>
      <c r="Y79" s="658"/>
      <c r="Z79" s="659"/>
    </row>
    <row r="80" spans="1:26" s="624" customFormat="1" ht="12.75">
      <c r="A80" s="610"/>
      <c r="B80" s="839"/>
      <c r="C80" s="839"/>
      <c r="D80" s="658"/>
      <c r="E80" s="658"/>
      <c r="F80" s="658"/>
      <c r="G80" s="658"/>
      <c r="H80" s="658"/>
      <c r="I80" s="658"/>
      <c r="J80" s="838"/>
      <c r="K80" s="838"/>
      <c r="L80" s="658"/>
      <c r="M80" s="658"/>
      <c r="N80" s="658"/>
      <c r="O80" s="658"/>
      <c r="P80" s="658"/>
      <c r="Q80" s="658"/>
      <c r="R80" s="658"/>
      <c r="S80" s="658"/>
      <c r="T80" s="658"/>
      <c r="U80" s="658"/>
      <c r="V80" s="658"/>
      <c r="W80" s="658"/>
      <c r="X80" s="658"/>
      <c r="Y80" s="658"/>
      <c r="Z80" s="659"/>
    </row>
    <row r="81" spans="1:26" s="624" customFormat="1" ht="12.75">
      <c r="A81" s="610"/>
      <c r="B81" s="839"/>
      <c r="C81" s="839"/>
      <c r="D81" s="658"/>
      <c r="E81" s="658"/>
      <c r="F81" s="658"/>
      <c r="G81" s="658"/>
      <c r="H81" s="658"/>
      <c r="I81" s="658"/>
      <c r="J81" s="838"/>
      <c r="K81" s="838"/>
      <c r="L81" s="658"/>
      <c r="M81" s="658"/>
      <c r="N81" s="658"/>
      <c r="O81" s="658"/>
      <c r="P81" s="658"/>
      <c r="Q81" s="658"/>
      <c r="R81" s="658"/>
      <c r="S81" s="658"/>
      <c r="T81" s="658"/>
      <c r="U81" s="658"/>
      <c r="V81" s="658"/>
      <c r="W81" s="658"/>
      <c r="X81" s="658"/>
      <c r="Y81" s="658"/>
      <c r="Z81" s="659"/>
    </row>
    <row r="82" spans="1:26" s="624" customFormat="1" ht="12.75">
      <c r="A82" s="610"/>
      <c r="B82" s="839"/>
      <c r="C82" s="839"/>
      <c r="D82" s="658"/>
      <c r="E82" s="658"/>
      <c r="F82" s="658"/>
      <c r="G82" s="658"/>
      <c r="H82" s="658"/>
      <c r="I82" s="658"/>
      <c r="J82" s="838"/>
      <c r="K82" s="838"/>
      <c r="L82" s="658"/>
      <c r="M82" s="658"/>
      <c r="N82" s="658"/>
      <c r="O82" s="658"/>
      <c r="P82" s="658"/>
      <c r="Q82" s="658"/>
      <c r="R82" s="658"/>
      <c r="S82" s="658"/>
      <c r="T82" s="658"/>
      <c r="U82" s="658"/>
      <c r="V82" s="658"/>
      <c r="W82" s="658"/>
      <c r="X82" s="658"/>
      <c r="Y82" s="658"/>
      <c r="Z82" s="659"/>
    </row>
    <row r="83" spans="1:26" s="624" customFormat="1" ht="12.75">
      <c r="A83" s="610"/>
      <c r="B83" s="839"/>
      <c r="C83" s="839"/>
      <c r="D83" s="658"/>
      <c r="E83" s="658"/>
      <c r="F83" s="658"/>
      <c r="G83" s="658"/>
      <c r="H83" s="658"/>
      <c r="I83" s="658"/>
      <c r="J83" s="838"/>
      <c r="K83" s="838"/>
      <c r="L83" s="658"/>
      <c r="M83" s="658"/>
      <c r="N83" s="658"/>
      <c r="O83" s="658"/>
      <c r="P83" s="658"/>
      <c r="Q83" s="658"/>
      <c r="R83" s="658"/>
      <c r="S83" s="658"/>
      <c r="T83" s="658"/>
      <c r="U83" s="658"/>
      <c r="V83" s="658"/>
      <c r="W83" s="658"/>
      <c r="X83" s="658"/>
      <c r="Y83" s="658"/>
      <c r="Z83" s="659"/>
    </row>
    <row r="84" spans="1:26" s="624" customFormat="1" ht="12.75">
      <c r="A84" s="610"/>
      <c r="B84" s="839"/>
      <c r="C84" s="839"/>
      <c r="D84" s="658"/>
      <c r="E84" s="658"/>
      <c r="F84" s="658"/>
      <c r="G84" s="658"/>
      <c r="H84" s="658"/>
      <c r="I84" s="658"/>
      <c r="J84" s="838"/>
      <c r="K84" s="838"/>
      <c r="L84" s="658"/>
      <c r="M84" s="658"/>
      <c r="N84" s="658"/>
      <c r="O84" s="658"/>
      <c r="P84" s="658"/>
      <c r="Q84" s="658"/>
      <c r="R84" s="658"/>
      <c r="S84" s="658"/>
      <c r="T84" s="658"/>
      <c r="U84" s="658"/>
      <c r="V84" s="658"/>
      <c r="W84" s="658"/>
      <c r="X84" s="658"/>
      <c r="Y84" s="658"/>
      <c r="Z84" s="659"/>
    </row>
    <row r="85" spans="1:26" s="624" customFormat="1" ht="12.75">
      <c r="A85" s="610"/>
      <c r="B85" s="839"/>
      <c r="C85" s="839"/>
      <c r="D85" s="658"/>
      <c r="E85" s="658"/>
      <c r="F85" s="658"/>
      <c r="G85" s="658"/>
      <c r="H85" s="658"/>
      <c r="I85" s="658"/>
      <c r="J85" s="838"/>
      <c r="K85" s="838"/>
      <c r="L85" s="658"/>
      <c r="M85" s="658"/>
      <c r="N85" s="658"/>
      <c r="O85" s="658"/>
      <c r="P85" s="658"/>
      <c r="Q85" s="658"/>
      <c r="R85" s="658"/>
      <c r="S85" s="658"/>
      <c r="T85" s="658"/>
      <c r="U85" s="658"/>
      <c r="V85" s="658"/>
      <c r="W85" s="658"/>
      <c r="X85" s="658"/>
      <c r="Y85" s="658"/>
      <c r="Z85" s="659"/>
    </row>
    <row r="86" spans="1:26" s="624" customFormat="1" ht="12.75">
      <c r="A86" s="610"/>
      <c r="B86" s="839"/>
      <c r="C86" s="839"/>
      <c r="D86" s="658"/>
      <c r="E86" s="658"/>
      <c r="F86" s="658"/>
      <c r="G86" s="658"/>
      <c r="H86" s="658"/>
      <c r="I86" s="658"/>
      <c r="J86" s="838"/>
      <c r="K86" s="838"/>
      <c r="L86" s="658"/>
      <c r="M86" s="658"/>
      <c r="N86" s="658"/>
      <c r="O86" s="658"/>
      <c r="P86" s="658"/>
      <c r="Q86" s="658"/>
      <c r="R86" s="658"/>
      <c r="S86" s="658"/>
      <c r="T86" s="658"/>
      <c r="U86" s="658"/>
      <c r="V86" s="658"/>
      <c r="W86" s="658"/>
      <c r="X86" s="658"/>
      <c r="Y86" s="658"/>
      <c r="Z86" s="659"/>
    </row>
    <row r="87" spans="1:26" s="624" customFormat="1" ht="12.75">
      <c r="A87" s="610"/>
      <c r="B87" s="839"/>
      <c r="C87" s="839"/>
      <c r="D87" s="658"/>
      <c r="E87" s="658"/>
      <c r="F87" s="658"/>
      <c r="G87" s="658"/>
      <c r="H87" s="658"/>
      <c r="I87" s="658"/>
      <c r="J87" s="838"/>
      <c r="K87" s="838"/>
      <c r="L87" s="658"/>
      <c r="M87" s="658"/>
      <c r="N87" s="658"/>
      <c r="O87" s="658"/>
      <c r="P87" s="658"/>
      <c r="Q87" s="658"/>
      <c r="R87" s="658"/>
      <c r="S87" s="658"/>
      <c r="T87" s="658"/>
      <c r="U87" s="658"/>
      <c r="V87" s="658"/>
      <c r="W87" s="658"/>
      <c r="X87" s="658"/>
      <c r="Y87" s="658"/>
      <c r="Z87" s="659"/>
    </row>
    <row r="88" spans="1:26" s="588" customFormat="1">
      <c r="A88" s="611" t="s">
        <v>281</v>
      </c>
      <c r="B88" s="612"/>
      <c r="C88" s="612"/>
      <c r="D88" s="612"/>
      <c r="E88" s="612"/>
      <c r="F88" s="612"/>
      <c r="G88" s="612"/>
      <c r="H88" s="612"/>
      <c r="I88" s="612"/>
      <c r="J88" s="612"/>
      <c r="K88" s="612"/>
      <c r="L88" s="613"/>
      <c r="M88" s="613">
        <f>SUM(M63:M87)</f>
        <v>0</v>
      </c>
      <c r="N88" s="613">
        <f t="shared" ref="N88:W88" si="5">SUM(N63:N87)</f>
        <v>0</v>
      </c>
      <c r="O88" s="613">
        <f t="shared" si="5"/>
        <v>0</v>
      </c>
      <c r="P88" s="613">
        <f t="shared" si="5"/>
        <v>0</v>
      </c>
      <c r="Q88" s="613">
        <f t="shared" si="5"/>
        <v>0</v>
      </c>
      <c r="R88" s="613">
        <f t="shared" si="5"/>
        <v>0</v>
      </c>
      <c r="S88" s="613">
        <f t="shared" si="5"/>
        <v>0</v>
      </c>
      <c r="T88" s="613">
        <f t="shared" si="5"/>
        <v>0</v>
      </c>
      <c r="U88" s="613">
        <f t="shared" si="5"/>
        <v>0</v>
      </c>
      <c r="V88" s="613">
        <f t="shared" si="5"/>
        <v>0</v>
      </c>
      <c r="W88" s="613">
        <f t="shared" si="5"/>
        <v>0</v>
      </c>
      <c r="X88" s="614"/>
      <c r="Y88" s="614"/>
      <c r="Z88" s="615"/>
    </row>
    <row r="89" spans="1:26" s="588" customFormat="1">
      <c r="A89" s="611" t="s">
        <v>288</v>
      </c>
      <c r="B89" s="612"/>
      <c r="C89" s="612"/>
      <c r="D89" s="612"/>
      <c r="E89" s="612"/>
      <c r="F89" s="612"/>
      <c r="G89" s="612"/>
      <c r="H89" s="612"/>
      <c r="I89" s="612"/>
      <c r="J89" s="612"/>
      <c r="K89" s="612"/>
      <c r="L89" s="613"/>
      <c r="M89" s="613">
        <f>SUMIF($Z$63:$Z$87,"industrie",M63:M87)</f>
        <v>0</v>
      </c>
      <c r="N89" s="613">
        <f t="shared" ref="N89:W89" si="6">SUMIF($Z$63:$Z$87,"industrie",N63:N87)</f>
        <v>0</v>
      </c>
      <c r="O89" s="613">
        <f t="shared" si="6"/>
        <v>0</v>
      </c>
      <c r="P89" s="613">
        <f t="shared" si="6"/>
        <v>0</v>
      </c>
      <c r="Q89" s="613">
        <f t="shared" si="6"/>
        <v>0</v>
      </c>
      <c r="R89" s="613">
        <f t="shared" si="6"/>
        <v>0</v>
      </c>
      <c r="S89" s="613">
        <f t="shared" si="6"/>
        <v>0</v>
      </c>
      <c r="T89" s="613">
        <f t="shared" si="6"/>
        <v>0</v>
      </c>
      <c r="U89" s="613">
        <f t="shared" si="6"/>
        <v>0</v>
      </c>
      <c r="V89" s="613">
        <f t="shared" si="6"/>
        <v>0</v>
      </c>
      <c r="W89" s="613">
        <f t="shared" si="6"/>
        <v>0</v>
      </c>
      <c r="X89" s="614"/>
      <c r="Y89" s="614"/>
      <c r="Z89" s="615"/>
    </row>
    <row r="90" spans="1:26" s="588" customFormat="1">
      <c r="A90" s="611" t="s">
        <v>289</v>
      </c>
      <c r="B90" s="612"/>
      <c r="C90" s="612"/>
      <c r="D90" s="612"/>
      <c r="E90" s="612"/>
      <c r="F90" s="612"/>
      <c r="G90" s="612"/>
      <c r="H90" s="612"/>
      <c r="I90" s="612"/>
      <c r="J90" s="612"/>
      <c r="K90" s="612"/>
      <c r="L90" s="613"/>
      <c r="M90" s="613">
        <f>SUMIF($Z$63:$Z$88,"tertiair",M63:M88)</f>
        <v>0</v>
      </c>
      <c r="N90" s="613">
        <f t="shared" ref="N90:W90" si="7">SUMIF($Z$63:$Z$88,"tertiair",N63:N88)</f>
        <v>0</v>
      </c>
      <c r="O90" s="613">
        <f t="shared" si="7"/>
        <v>0</v>
      </c>
      <c r="P90" s="613">
        <f t="shared" si="7"/>
        <v>0</v>
      </c>
      <c r="Q90" s="613">
        <f t="shared" si="7"/>
        <v>0</v>
      </c>
      <c r="R90" s="613">
        <f t="shared" si="7"/>
        <v>0</v>
      </c>
      <c r="S90" s="613">
        <f t="shared" si="7"/>
        <v>0</v>
      </c>
      <c r="T90" s="613">
        <f t="shared" si="7"/>
        <v>0</v>
      </c>
      <c r="U90" s="613">
        <f t="shared" si="7"/>
        <v>0</v>
      </c>
      <c r="V90" s="613">
        <f t="shared" si="7"/>
        <v>0</v>
      </c>
      <c r="W90" s="613">
        <f t="shared" si="7"/>
        <v>0</v>
      </c>
      <c r="X90" s="614"/>
      <c r="Y90" s="614"/>
      <c r="Z90" s="615"/>
    </row>
    <row r="91" spans="1:26" s="588" customFormat="1" ht="15.75" thickBot="1">
      <c r="A91" s="616" t="s">
        <v>290</v>
      </c>
      <c r="B91" s="617"/>
      <c r="C91" s="617"/>
      <c r="D91" s="617"/>
      <c r="E91" s="617"/>
      <c r="F91" s="617"/>
      <c r="G91" s="617"/>
      <c r="H91" s="617"/>
      <c r="I91" s="617"/>
      <c r="J91" s="617"/>
      <c r="K91" s="617"/>
      <c r="L91" s="618"/>
      <c r="M91" s="618">
        <f t="shared" ref="M91:W91" si="8">SUMIF($Z$63:$Z$89,"landbouw",M63:M89)</f>
        <v>0</v>
      </c>
      <c r="N91" s="618">
        <f t="shared" si="8"/>
        <v>0</v>
      </c>
      <c r="O91" s="618">
        <f t="shared" si="8"/>
        <v>0</v>
      </c>
      <c r="P91" s="618">
        <f t="shared" si="8"/>
        <v>0</v>
      </c>
      <c r="Q91" s="618">
        <f t="shared" si="8"/>
        <v>0</v>
      </c>
      <c r="R91" s="618">
        <f t="shared" si="8"/>
        <v>0</v>
      </c>
      <c r="S91" s="618">
        <f t="shared" si="8"/>
        <v>0</v>
      </c>
      <c r="T91" s="618">
        <f t="shared" si="8"/>
        <v>0</v>
      </c>
      <c r="U91" s="618">
        <f t="shared" si="8"/>
        <v>0</v>
      </c>
      <c r="V91" s="618">
        <f t="shared" si="8"/>
        <v>0</v>
      </c>
      <c r="W91" s="618">
        <f t="shared" si="8"/>
        <v>0</v>
      </c>
      <c r="X91" s="619"/>
      <c r="Y91" s="619"/>
      <c r="Z91" s="620"/>
    </row>
    <row r="92" spans="1:26" s="625" customFormat="1">
      <c r="A92" s="621"/>
      <c r="B92" s="605"/>
      <c r="C92" s="605"/>
      <c r="D92" s="605"/>
      <c r="E92" s="605"/>
      <c r="F92" s="605"/>
      <c r="G92" s="605"/>
      <c r="H92" s="605"/>
      <c r="I92" s="605"/>
      <c r="J92" s="605"/>
      <c r="K92" s="605"/>
      <c r="L92" s="605"/>
      <c r="M92" s="605"/>
      <c r="N92" s="605"/>
      <c r="O92" s="605"/>
      <c r="P92" s="605"/>
      <c r="Q92" s="605"/>
      <c r="R92" s="605"/>
      <c r="S92" s="605"/>
      <c r="T92" s="605"/>
      <c r="U92" s="605"/>
      <c r="V92" s="605"/>
      <c r="W92" s="605"/>
      <c r="X92" s="605"/>
      <c r="Y92" s="605"/>
    </row>
    <row r="93" spans="1:26" s="625" customFormat="1" ht="15.75" thickBot="1">
      <c r="A93" s="621"/>
      <c r="B93" s="605"/>
      <c r="C93" s="605"/>
      <c r="D93" s="605"/>
      <c r="E93" s="605"/>
      <c r="F93" s="605"/>
      <c r="G93" s="605"/>
      <c r="H93" s="605"/>
      <c r="I93" s="605"/>
      <c r="J93" s="605"/>
      <c r="K93" s="605"/>
      <c r="L93" s="605"/>
      <c r="M93" s="605"/>
      <c r="N93" s="605"/>
      <c r="O93" s="605"/>
      <c r="P93" s="605"/>
      <c r="Q93" s="605"/>
      <c r="R93" s="605"/>
      <c r="S93" s="605"/>
      <c r="T93" s="605"/>
      <c r="U93" s="605"/>
      <c r="V93" s="605"/>
      <c r="W93" s="605"/>
      <c r="X93" s="605"/>
      <c r="Y93" s="605"/>
    </row>
    <row r="94" spans="1:26">
      <c r="A94" s="626" t="s">
        <v>283</v>
      </c>
      <c r="B94" s="627"/>
      <c r="C94" s="627"/>
      <c r="D94" s="627"/>
      <c r="E94" s="627"/>
      <c r="F94" s="627"/>
      <c r="G94" s="627"/>
      <c r="H94" s="627"/>
      <c r="I94" s="628"/>
      <c r="J94" s="629"/>
      <c r="K94" s="629"/>
      <c r="L94" s="630"/>
      <c r="M94" s="630"/>
      <c r="N94" s="630"/>
    </row>
    <row r="95" spans="1:26">
      <c r="A95" s="632"/>
      <c r="B95" s="622"/>
      <c r="C95" s="622"/>
      <c r="D95" s="622"/>
      <c r="E95" s="622"/>
      <c r="F95" s="622"/>
      <c r="G95" s="622"/>
      <c r="H95" s="622"/>
      <c r="I95" s="633"/>
      <c r="J95" s="622"/>
      <c r="K95" s="622"/>
      <c r="L95" s="630"/>
      <c r="M95" s="630"/>
      <c r="N95" s="630"/>
    </row>
    <row r="96" spans="1:26">
      <c r="A96" s="634"/>
      <c r="B96" s="635" t="s">
        <v>284</v>
      </c>
      <c r="C96" s="635" t="s">
        <v>285</v>
      </c>
      <c r="D96" s="635"/>
      <c r="E96" s="635"/>
      <c r="F96" s="635"/>
      <c r="G96" s="635"/>
      <c r="H96" s="635"/>
      <c r="I96" s="636"/>
      <c r="J96" s="635"/>
      <c r="K96" s="635"/>
      <c r="L96" s="635"/>
      <c r="M96" s="635"/>
      <c r="N96" s="630"/>
    </row>
    <row r="97" spans="1:14">
      <c r="A97" s="632" t="s">
        <v>281</v>
      </c>
      <c r="B97" s="637">
        <f>IF(ISERROR(O57/(O57+N57)),0,O57/(O57+N57))</f>
        <v>0</v>
      </c>
      <c r="C97" s="638">
        <f>IF(ISERROR(N57/(O57+N57)),0,N57/(N57+O57))</f>
        <v>0</v>
      </c>
      <c r="D97" s="605"/>
      <c r="E97" s="605"/>
      <c r="F97" s="605"/>
      <c r="G97" s="605"/>
      <c r="H97" s="605"/>
      <c r="I97" s="639"/>
      <c r="J97" s="605"/>
      <c r="K97" s="605"/>
      <c r="L97" s="640"/>
      <c r="M97" s="640"/>
      <c r="N97" s="630"/>
    </row>
    <row r="98" spans="1:14">
      <c r="A98" s="632"/>
      <c r="B98" s="641"/>
      <c r="C98" s="641"/>
      <c r="D98" s="641"/>
      <c r="E98" s="641"/>
      <c r="F98" s="641"/>
      <c r="G98" s="641"/>
      <c r="H98" s="641"/>
      <c r="I98" s="642"/>
      <c r="J98" s="641"/>
      <c r="K98" s="641"/>
      <c r="L98" s="643"/>
      <c r="M98" s="643"/>
      <c r="N98" s="630"/>
    </row>
    <row r="99" spans="1:14" ht="30">
      <c r="A99" s="644"/>
      <c r="B99" s="645" t="s">
        <v>547</v>
      </c>
      <c r="C99" s="645" t="s">
        <v>103</v>
      </c>
      <c r="D99" s="645" t="s">
        <v>104</v>
      </c>
      <c r="E99" s="645" t="s">
        <v>105</v>
      </c>
      <c r="F99" s="645" t="s">
        <v>106</v>
      </c>
      <c r="G99" s="645" t="s">
        <v>107</v>
      </c>
      <c r="H99" s="645" t="s">
        <v>108</v>
      </c>
      <c r="I99" s="646" t="s">
        <v>109</v>
      </c>
      <c r="J99" s="635"/>
      <c r="K99" s="635"/>
      <c r="L99" s="643"/>
      <c r="M99" s="630"/>
      <c r="N99" s="630"/>
    </row>
    <row r="100" spans="1:14">
      <c r="A100" s="634" t="s">
        <v>286</v>
      </c>
      <c r="B100" s="647">
        <f t="shared" ref="B100:I100" si="9">$C$97*P57</f>
        <v>0</v>
      </c>
      <c r="C100" s="647">
        <f t="shared" si="9"/>
        <v>0</v>
      </c>
      <c r="D100" s="647">
        <f t="shared" si="9"/>
        <v>0</v>
      </c>
      <c r="E100" s="647">
        <f t="shared" si="9"/>
        <v>0</v>
      </c>
      <c r="F100" s="647">
        <f t="shared" si="9"/>
        <v>0</v>
      </c>
      <c r="G100" s="647">
        <f t="shared" si="9"/>
        <v>0</v>
      </c>
      <c r="H100" s="647">
        <f t="shared" si="9"/>
        <v>0</v>
      </c>
      <c r="I100" s="648">
        <f t="shared" si="9"/>
        <v>0</v>
      </c>
      <c r="J100" s="605"/>
      <c r="K100" s="605"/>
      <c r="L100" s="643"/>
      <c r="M100" s="630"/>
      <c r="N100" s="630"/>
    </row>
    <row r="101" spans="1:14" ht="15.75" thickBot="1">
      <c r="A101" s="649" t="s">
        <v>287</v>
      </c>
      <c r="B101" s="650">
        <f>$B$97*P57</f>
        <v>0</v>
      </c>
      <c r="C101" s="650">
        <f t="shared" ref="C101:H101" si="10">$B$97*Q57</f>
        <v>0</v>
      </c>
      <c r="D101" s="650">
        <f t="shared" si="10"/>
        <v>0</v>
      </c>
      <c r="E101" s="650">
        <f t="shared" si="10"/>
        <v>0</v>
      </c>
      <c r="F101" s="650">
        <f t="shared" si="10"/>
        <v>0</v>
      </c>
      <c r="G101" s="650">
        <f t="shared" si="10"/>
        <v>0</v>
      </c>
      <c r="H101" s="650">
        <f t="shared" si="10"/>
        <v>0</v>
      </c>
      <c r="I101" s="651">
        <f>$B$97*W57</f>
        <v>0</v>
      </c>
      <c r="J101" s="605"/>
      <c r="K101" s="605"/>
      <c r="L101" s="643"/>
      <c r="M101" s="630"/>
      <c r="N101" s="630"/>
    </row>
    <row r="102" spans="1:14">
      <c r="J102" s="584"/>
      <c r="K102" s="584"/>
      <c r="L102" s="584"/>
    </row>
    <row r="103" spans="1:14">
      <c r="J103" s="584"/>
      <c r="K103" s="584"/>
      <c r="L103" s="584"/>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420</v>
      </c>
      <c r="B1" s="359" t="s">
        <v>427</v>
      </c>
      <c r="C1" s="359" t="s">
        <v>426</v>
      </c>
      <c r="D1" s="359" t="s">
        <v>425</v>
      </c>
      <c r="E1" s="360" t="s">
        <v>421</v>
      </c>
      <c r="F1" s="361" t="s">
        <v>422</v>
      </c>
      <c r="G1" s="361" t="s">
        <v>423</v>
      </c>
      <c r="H1" s="361" t="s">
        <v>424</v>
      </c>
    </row>
    <row r="2" spans="1:8" s="11" customFormat="1">
      <c r="A2" s="969" t="s">
        <v>818</v>
      </c>
      <c r="B2" s="975" t="s">
        <v>816</v>
      </c>
      <c r="C2" s="969" t="s">
        <v>194</v>
      </c>
      <c r="D2" s="969" t="s">
        <v>819</v>
      </c>
      <c r="E2" s="970"/>
      <c r="F2" s="971" t="s">
        <v>820</v>
      </c>
      <c r="G2" s="971" t="s">
        <v>821</v>
      </c>
      <c r="H2" s="971" t="s">
        <v>822</v>
      </c>
    </row>
    <row r="3" spans="1:8" s="11" customFormat="1">
      <c r="A3" s="969" t="s">
        <v>827</v>
      </c>
      <c r="B3" s="973" t="s">
        <v>831</v>
      </c>
      <c r="C3" s="969" t="s">
        <v>829</v>
      </c>
      <c r="D3" s="969" t="s">
        <v>830</v>
      </c>
      <c r="E3" s="970"/>
      <c r="F3" s="979" t="s">
        <v>834</v>
      </c>
      <c r="G3" s="979" t="s">
        <v>835</v>
      </c>
      <c r="H3" s="352" t="s">
        <v>836</v>
      </c>
    </row>
    <row r="4" spans="1:8" s="11" customFormat="1">
      <c r="A4" s="969" t="s">
        <v>795</v>
      </c>
      <c r="B4" s="973" t="s">
        <v>816</v>
      </c>
      <c r="C4" s="969" t="s">
        <v>194</v>
      </c>
      <c r="D4" s="974" t="s">
        <v>826</v>
      </c>
      <c r="E4" s="970"/>
      <c r="F4" s="971" t="s">
        <v>820</v>
      </c>
      <c r="G4" s="971" t="s">
        <v>821</v>
      </c>
      <c r="H4" s="971" t="s">
        <v>822</v>
      </c>
    </row>
    <row r="5" spans="1:8" s="11" customFormat="1">
      <c r="A5" s="353" t="s">
        <v>413</v>
      </c>
      <c r="B5" s="847">
        <v>2012</v>
      </c>
      <c r="C5" s="353" t="s">
        <v>413</v>
      </c>
      <c r="D5" s="353"/>
      <c r="E5" s="354"/>
      <c r="F5" s="976" t="s">
        <v>823</v>
      </c>
      <c r="G5" s="976" t="s">
        <v>824</v>
      </c>
      <c r="H5" s="976" t="s">
        <v>825</v>
      </c>
    </row>
    <row r="6" spans="1:8">
      <c r="A6" s="348" t="s">
        <v>406</v>
      </c>
      <c r="B6" s="349" t="s">
        <v>407</v>
      </c>
      <c r="C6" s="348" t="s">
        <v>406</v>
      </c>
      <c r="D6" s="348" t="s">
        <v>721</v>
      </c>
      <c r="E6" s="350"/>
      <c r="F6" s="351" t="s">
        <v>408</v>
      </c>
      <c r="G6" s="351" t="s">
        <v>409</v>
      </c>
      <c r="H6" s="352" t="s">
        <v>410</v>
      </c>
    </row>
    <row r="7" spans="1:8">
      <c r="A7" s="348" t="s">
        <v>411</v>
      </c>
      <c r="B7" s="349" t="s">
        <v>407</v>
      </c>
      <c r="C7" s="348" t="s">
        <v>411</v>
      </c>
      <c r="D7" s="348" t="s">
        <v>722</v>
      </c>
      <c r="E7" s="350"/>
      <c r="F7" s="351" t="s">
        <v>804</v>
      </c>
      <c r="G7" s="351" t="s">
        <v>812</v>
      </c>
      <c r="H7" s="352" t="s">
        <v>813</v>
      </c>
    </row>
    <row r="8" spans="1:8">
      <c r="A8" s="353" t="s">
        <v>438</v>
      </c>
      <c r="B8" s="357" t="s">
        <v>439</v>
      </c>
      <c r="C8" s="353" t="s">
        <v>441</v>
      </c>
      <c r="D8" s="353" t="s">
        <v>437</v>
      </c>
      <c r="E8" s="350" t="s">
        <v>440</v>
      </c>
      <c r="F8" s="351"/>
      <c r="G8" s="351"/>
      <c r="H8" s="352"/>
    </row>
    <row r="9" spans="1:8">
      <c r="A9" s="969" t="s">
        <v>837</v>
      </c>
      <c r="B9" s="977">
        <v>2011</v>
      </c>
      <c r="C9" s="969" t="s">
        <v>413</v>
      </c>
      <c r="D9" s="969" t="s">
        <v>838</v>
      </c>
      <c r="E9" s="978" t="s">
        <v>839</v>
      </c>
      <c r="F9" s="979"/>
      <c r="G9" s="979"/>
      <c r="H9" s="352"/>
    </row>
    <row r="10" spans="1:8">
      <c r="A10" s="969" t="s">
        <v>851</v>
      </c>
      <c r="B10" s="977" t="s">
        <v>852</v>
      </c>
      <c r="C10" s="969" t="s">
        <v>855</v>
      </c>
      <c r="D10" s="969" t="s">
        <v>854</v>
      </c>
      <c r="E10" s="978" t="s">
        <v>850</v>
      </c>
      <c r="F10" s="979"/>
      <c r="G10" s="979"/>
      <c r="H10" s="352"/>
    </row>
    <row r="11" spans="1:8">
      <c r="A11" s="353" t="s">
        <v>640</v>
      </c>
      <c r="B11" s="349" t="s">
        <v>641</v>
      </c>
      <c r="C11" s="353" t="s">
        <v>642</v>
      </c>
      <c r="D11" s="353" t="s">
        <v>643</v>
      </c>
      <c r="E11" s="350"/>
      <c r="F11" s="351" t="s">
        <v>805</v>
      </c>
      <c r="G11" s="351" t="s">
        <v>814</v>
      </c>
      <c r="H11" s="352" t="s">
        <v>815</v>
      </c>
    </row>
    <row r="12" spans="1:8">
      <c r="A12" s="348" t="s">
        <v>801</v>
      </c>
      <c r="B12" s="349" t="s">
        <v>802</v>
      </c>
      <c r="C12" s="348" t="s">
        <v>803</v>
      </c>
      <c r="D12" s="348" t="s">
        <v>651</v>
      </c>
      <c r="E12" s="701"/>
      <c r="F12" s="351" t="s">
        <v>809</v>
      </c>
      <c r="G12" s="351" t="s">
        <v>810</v>
      </c>
      <c r="H12" s="352" t="s">
        <v>811</v>
      </c>
    </row>
    <row r="13" spans="1:8">
      <c r="A13" s="969" t="s">
        <v>832</v>
      </c>
      <c r="B13" s="977">
        <v>2017</v>
      </c>
      <c r="C13" s="969" t="s">
        <v>431</v>
      </c>
      <c r="D13" s="969" t="s">
        <v>833</v>
      </c>
      <c r="E13" s="978"/>
      <c r="F13" s="979" t="s">
        <v>834</v>
      </c>
      <c r="G13" s="979" t="s">
        <v>835</v>
      </c>
      <c r="H13" s="352" t="s">
        <v>836</v>
      </c>
    </row>
    <row r="14" spans="1:8" s="10" customFormat="1">
      <c r="A14" s="353" t="s">
        <v>415</v>
      </c>
      <c r="B14" s="349" t="s">
        <v>430</v>
      </c>
      <c r="C14" s="348"/>
      <c r="D14" s="358" t="s">
        <v>429</v>
      </c>
      <c r="E14" s="350"/>
      <c r="F14" s="351"/>
      <c r="G14" s="351"/>
      <c r="H14" s="352"/>
    </row>
    <row r="15" spans="1:8">
      <c r="A15" s="348" t="s">
        <v>398</v>
      </c>
      <c r="B15" s="349" t="s">
        <v>404</v>
      </c>
      <c r="C15" s="348" t="s">
        <v>403</v>
      </c>
      <c r="D15" s="348" t="s">
        <v>405</v>
      </c>
      <c r="E15" s="356" t="s">
        <v>399</v>
      </c>
      <c r="F15" s="351" t="s">
        <v>400</v>
      </c>
      <c r="G15" s="351" t="s">
        <v>401</v>
      </c>
      <c r="H15" s="351" t="s">
        <v>402</v>
      </c>
    </row>
    <row r="16" spans="1:8">
      <c r="A16" s="348" t="s">
        <v>414</v>
      </c>
      <c r="B16" s="349" t="s">
        <v>407</v>
      </c>
      <c r="C16" s="348" t="s">
        <v>414</v>
      </c>
      <c r="D16" s="348" t="s">
        <v>428</v>
      </c>
      <c r="E16" s="350"/>
      <c r="F16" s="351" t="s">
        <v>871</v>
      </c>
      <c r="G16" s="351" t="s">
        <v>872</v>
      </c>
      <c r="H16" s="352" t="s">
        <v>873</v>
      </c>
    </row>
    <row r="17" spans="1:8">
      <c r="A17" s="348" t="s">
        <v>519</v>
      </c>
      <c r="B17" s="349" t="s">
        <v>383</v>
      </c>
      <c r="C17" s="348" t="s">
        <v>381</v>
      </c>
      <c r="D17" s="358" t="s">
        <v>382</v>
      </c>
      <c r="E17" s="350" t="s">
        <v>384</v>
      </c>
      <c r="F17" s="351" t="s">
        <v>806</v>
      </c>
      <c r="G17" s="351" t="s">
        <v>807</v>
      </c>
      <c r="H17" s="352" t="s">
        <v>808</v>
      </c>
    </row>
    <row r="18" spans="1:8">
      <c r="A18" s="348" t="s">
        <v>519</v>
      </c>
      <c r="B18" s="349" t="s">
        <v>859</v>
      </c>
      <c r="C18" s="348" t="s">
        <v>863</v>
      </c>
      <c r="D18" s="358" t="s">
        <v>864</v>
      </c>
      <c r="E18" s="350"/>
      <c r="F18" s="351" t="s">
        <v>806</v>
      </c>
      <c r="G18" s="351" t="s">
        <v>807</v>
      </c>
      <c r="H18" s="352" t="s">
        <v>808</v>
      </c>
    </row>
    <row r="19" spans="1:8">
      <c r="A19" s="353" t="s">
        <v>518</v>
      </c>
      <c r="B19" s="357" t="s">
        <v>407</v>
      </c>
      <c r="C19" s="353" t="s">
        <v>431</v>
      </c>
      <c r="D19" s="353" t="s">
        <v>379</v>
      </c>
      <c r="E19" s="350"/>
      <c r="F19" s="351" t="s">
        <v>806</v>
      </c>
      <c r="G19" s="351" t="s">
        <v>807</v>
      </c>
      <c r="H19" s="352" t="s">
        <v>808</v>
      </c>
    </row>
    <row r="20" spans="1:8" s="10" customFormat="1">
      <c r="A20" s="353" t="s">
        <v>517</v>
      </c>
      <c r="B20" s="357" t="s">
        <v>516</v>
      </c>
      <c r="C20" s="353" t="s">
        <v>515</v>
      </c>
      <c r="D20" s="353" t="s">
        <v>514</v>
      </c>
      <c r="E20" s="346"/>
      <c r="F20" s="347"/>
      <c r="G20" s="347"/>
      <c r="H20" s="355"/>
    </row>
    <row r="21" spans="1:8">
      <c r="A21" s="353" t="s">
        <v>194</v>
      </c>
      <c r="B21" s="847" t="s">
        <v>723</v>
      </c>
      <c r="C21" s="353" t="s">
        <v>432</v>
      </c>
      <c r="D21" s="353" t="s">
        <v>433</v>
      </c>
      <c r="E21" s="350"/>
      <c r="F21" s="351" t="s">
        <v>434</v>
      </c>
      <c r="G21" s="351" t="s">
        <v>435</v>
      </c>
      <c r="H21" s="352" t="s">
        <v>436</v>
      </c>
    </row>
    <row r="22" spans="1:8">
      <c r="A22" s="353" t="s">
        <v>414</v>
      </c>
      <c r="B22" s="349" t="s">
        <v>859</v>
      </c>
      <c r="C22" s="353" t="s">
        <v>414</v>
      </c>
      <c r="D22" s="353" t="s">
        <v>860</v>
      </c>
      <c r="E22" s="350"/>
      <c r="F22" s="351" t="s">
        <v>874</v>
      </c>
      <c r="G22" s="351" t="s">
        <v>875</v>
      </c>
      <c r="H22" s="352" t="s">
        <v>876</v>
      </c>
    </row>
    <row r="23" spans="1:8">
      <c r="A23" s="969" t="s">
        <v>414</v>
      </c>
      <c r="B23" s="973" t="s">
        <v>861</v>
      </c>
      <c r="C23" s="969" t="s">
        <v>414</v>
      </c>
      <c r="D23" s="969" t="s">
        <v>862</v>
      </c>
      <c r="E23" s="970"/>
      <c r="F23" s="971" t="s">
        <v>877</v>
      </c>
      <c r="G23" s="971" t="s">
        <v>878</v>
      </c>
      <c r="H23" s="972" t="s">
        <v>879</v>
      </c>
    </row>
    <row r="24" spans="1:8">
      <c r="A24" s="353" t="s">
        <v>865</v>
      </c>
      <c r="B24" s="985" t="s">
        <v>870</v>
      </c>
      <c r="C24" s="353" t="s">
        <v>865</v>
      </c>
      <c r="D24" s="353" t="s">
        <v>866</v>
      </c>
      <c r="E24" s="350" t="s">
        <v>867</v>
      </c>
      <c r="F24" s="351" t="s">
        <v>880</v>
      </c>
      <c r="G24" s="351" t="s">
        <v>881</v>
      </c>
      <c r="H24" s="352" t="s">
        <v>882</v>
      </c>
    </row>
    <row r="25" spans="1:8">
      <c r="A25" s="348" t="s">
        <v>865</v>
      </c>
      <c r="B25" s="986" t="s">
        <v>870</v>
      </c>
      <c r="C25" s="348" t="s">
        <v>865</v>
      </c>
      <c r="D25" s="358" t="s">
        <v>868</v>
      </c>
      <c r="E25" s="350" t="s">
        <v>869</v>
      </c>
      <c r="F25" s="351" t="s">
        <v>880</v>
      </c>
      <c r="G25" s="351" t="s">
        <v>881</v>
      </c>
      <c r="H25" s="352" t="s">
        <v>882</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topLeftCell="A73" zoomScale="69" zoomScaleNormal="69" workbookViewId="0">
      <selection activeCell="N33" sqref="M33:N33"/>
    </sheetView>
  </sheetViews>
  <sheetFormatPr defaultColWidth="9.140625" defaultRowHeight="14.25"/>
  <cols>
    <col min="1" max="1" width="67.85546875" style="455" customWidth="1"/>
    <col min="2" max="2" width="11.85546875" style="45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5"/>
  </cols>
  <sheetData>
    <row r="2" spans="1:19" ht="15.75">
      <c r="A2" s="1040" t="s">
        <v>222</v>
      </c>
      <c r="B2" s="1040"/>
      <c r="C2" s="1040"/>
      <c r="D2" s="59"/>
      <c r="E2" s="59"/>
      <c r="F2" s="59"/>
      <c r="G2" s="59"/>
      <c r="H2" s="60"/>
      <c r="I2" s="60"/>
      <c r="J2" s="61"/>
      <c r="K2" s="61"/>
      <c r="L2" s="60"/>
      <c r="M2" s="60"/>
      <c r="N2" s="60"/>
      <c r="O2" s="60"/>
      <c r="P2" s="60"/>
      <c r="Q2" s="60"/>
      <c r="R2" s="60"/>
    </row>
    <row r="3" spans="1:19">
      <c r="A3" s="1041"/>
      <c r="B3" s="1041"/>
      <c r="C3" s="1041"/>
      <c r="D3" s="1041"/>
      <c r="E3" s="1041"/>
      <c r="F3" s="1041"/>
      <c r="G3" s="1041"/>
      <c r="H3" s="1041"/>
      <c r="I3" s="1041"/>
      <c r="J3" s="1041"/>
      <c r="K3" s="1041"/>
      <c r="L3" s="1041"/>
      <c r="M3" s="1041"/>
      <c r="N3" s="1041"/>
      <c r="O3" s="1041"/>
      <c r="P3" s="1041"/>
      <c r="Q3" s="1041"/>
      <c r="R3" s="1041"/>
    </row>
    <row r="4" spans="1:19" ht="15.75" thickBot="1">
      <c r="A4" s="456"/>
      <c r="B4" s="456"/>
      <c r="C4" s="63"/>
      <c r="D4" s="63"/>
      <c r="E4" s="63"/>
      <c r="F4" s="63"/>
      <c r="G4" s="63"/>
      <c r="H4" s="63"/>
      <c r="I4" s="63"/>
      <c r="J4" s="63"/>
      <c r="K4" s="63"/>
      <c r="L4" s="63"/>
      <c r="M4" s="63"/>
      <c r="N4" s="63"/>
      <c r="O4" s="63"/>
      <c r="P4" s="63"/>
      <c r="Q4" s="63"/>
      <c r="R4" s="63"/>
    </row>
    <row r="5" spans="1:19" ht="16.5" thickBot="1">
      <c r="A5" s="1042" t="s">
        <v>223</v>
      </c>
      <c r="B5" s="848"/>
      <c r="C5" s="1045" t="s">
        <v>344</v>
      </c>
      <c r="D5" s="1046"/>
      <c r="E5" s="1046"/>
      <c r="F5" s="1046"/>
      <c r="G5" s="1046"/>
      <c r="H5" s="1046"/>
      <c r="I5" s="1046"/>
      <c r="J5" s="1046"/>
      <c r="K5" s="1046"/>
      <c r="L5" s="1046"/>
      <c r="M5" s="1046"/>
      <c r="N5" s="1046"/>
      <c r="O5" s="1046"/>
      <c r="P5" s="1046"/>
      <c r="Q5" s="1046"/>
      <c r="R5" s="1047"/>
    </row>
    <row r="6" spans="1:19" ht="16.5" thickTop="1">
      <c r="A6" s="1043"/>
      <c r="B6" s="849"/>
      <c r="C6" s="1048" t="s">
        <v>21</v>
      </c>
      <c r="D6" s="1050" t="s">
        <v>197</v>
      </c>
      <c r="E6" s="1052" t="s">
        <v>198</v>
      </c>
      <c r="F6" s="1053"/>
      <c r="G6" s="1053"/>
      <c r="H6" s="1053"/>
      <c r="I6" s="1053"/>
      <c r="J6" s="1053"/>
      <c r="K6" s="1053"/>
      <c r="L6" s="1054"/>
      <c r="M6" s="1052" t="s">
        <v>199</v>
      </c>
      <c r="N6" s="1053"/>
      <c r="O6" s="1053"/>
      <c r="P6" s="1053"/>
      <c r="Q6" s="1053"/>
      <c r="R6" s="1055" t="s">
        <v>116</v>
      </c>
    </row>
    <row r="7" spans="1:19" ht="45.75" thickBot="1">
      <c r="A7" s="1044"/>
      <c r="B7" s="850"/>
      <c r="C7" s="1049"/>
      <c r="D7" s="1051"/>
      <c r="E7" s="452" t="s">
        <v>200</v>
      </c>
      <c r="F7" s="452" t="s">
        <v>201</v>
      </c>
      <c r="G7" s="64" t="s">
        <v>202</v>
      </c>
      <c r="H7" s="452" t="s">
        <v>203</v>
      </c>
      <c r="I7" s="452" t="s">
        <v>120</v>
      </c>
      <c r="J7" s="452" t="s">
        <v>204</v>
      </c>
      <c r="K7" s="453" t="s">
        <v>205</v>
      </c>
      <c r="L7" s="453" t="s">
        <v>206</v>
      </c>
      <c r="M7" s="64" t="s">
        <v>207</v>
      </c>
      <c r="N7" s="65" t="s">
        <v>208</v>
      </c>
      <c r="O7" s="65" t="s">
        <v>209</v>
      </c>
      <c r="P7" s="65" t="s">
        <v>210</v>
      </c>
      <c r="Q7" s="66" t="s">
        <v>211</v>
      </c>
      <c r="R7" s="1056"/>
    </row>
    <row r="8" spans="1:19" ht="18.75" customHeight="1" thickTop="1">
      <c r="A8" s="857" t="s">
        <v>345</v>
      </c>
      <c r="B8" s="862"/>
      <c r="C8" s="1057"/>
      <c r="D8" s="1057"/>
      <c r="E8" s="1057"/>
      <c r="F8" s="1057"/>
      <c r="G8" s="1057"/>
      <c r="H8" s="1057"/>
      <c r="I8" s="1057"/>
      <c r="J8" s="1057"/>
      <c r="K8" s="1057"/>
      <c r="L8" s="1057"/>
      <c r="M8" s="1057"/>
      <c r="N8" s="1057"/>
      <c r="O8" s="1057"/>
      <c r="P8" s="1057"/>
      <c r="Q8" s="1057"/>
      <c r="R8" s="309"/>
    </row>
    <row r="9" spans="1:19" s="457" customFormat="1">
      <c r="A9" s="858" t="s">
        <v>224</v>
      </c>
      <c r="B9" s="863"/>
      <c r="C9" s="702">
        <f>'Eigen gebouwen'!B15</f>
        <v>0</v>
      </c>
      <c r="D9" s="702">
        <f>'Eigen gebouwen'!C15</f>
        <v>0</v>
      </c>
      <c r="E9" s="702">
        <f>'Eigen gebouwen'!D15</f>
        <v>0</v>
      </c>
      <c r="F9" s="702">
        <f>'Eigen gebouwen'!E15</f>
        <v>0</v>
      </c>
      <c r="G9" s="702">
        <f>'Eigen gebouwen'!F15</f>
        <v>0</v>
      </c>
      <c r="H9" s="702">
        <f>'Eigen gebouwen'!G15</f>
        <v>0</v>
      </c>
      <c r="I9" s="702">
        <f>'Eigen gebouwen'!H15</f>
        <v>0</v>
      </c>
      <c r="J9" s="702">
        <f>'Eigen gebouwen'!I15</f>
        <v>0</v>
      </c>
      <c r="K9" s="702">
        <f>'Eigen gebouwen'!J15</f>
        <v>0</v>
      </c>
      <c r="L9" s="702">
        <f>'Eigen gebouwen'!K15</f>
        <v>0</v>
      </c>
      <c r="M9" s="702">
        <f>'Eigen gebouwen'!L15</f>
        <v>0</v>
      </c>
      <c r="N9" s="702">
        <f>'Eigen gebouwen'!M15</f>
        <v>0</v>
      </c>
      <c r="O9" s="702">
        <f>'Eigen gebouwen'!N15</f>
        <v>0</v>
      </c>
      <c r="P9" s="702">
        <f>'Eigen gebouwen'!O15</f>
        <v>0</v>
      </c>
      <c r="Q9" s="703">
        <f>'Eigen gebouwen'!P15</f>
        <v>0</v>
      </c>
      <c r="R9" s="704">
        <f>SUM(C9:Q9)</f>
        <v>0</v>
      </c>
      <c r="S9" s="67"/>
    </row>
    <row r="10" spans="1:19" s="457" customFormat="1">
      <c r="A10" s="859" t="s">
        <v>225</v>
      </c>
      <c r="B10" s="864"/>
      <c r="C10" s="702">
        <f ca="1">tertiair!B16+'openbare verlichting'!B8</f>
        <v>7273.3270000000002</v>
      </c>
      <c r="D10" s="702">
        <f ca="1">tertiair!C16</f>
        <v>0</v>
      </c>
      <c r="E10" s="702">
        <f ca="1">tertiair!D16</f>
        <v>4987.9057580000008</v>
      </c>
      <c r="F10" s="702">
        <f>tertiair!E16</f>
        <v>140.12332185068576</v>
      </c>
      <c r="G10" s="702">
        <f ca="1">tertiair!F16</f>
        <v>1321.0843740830794</v>
      </c>
      <c r="H10" s="702">
        <f>tertiair!G16</f>
        <v>0</v>
      </c>
      <c r="I10" s="702">
        <f>tertiair!H16</f>
        <v>0</v>
      </c>
      <c r="J10" s="702">
        <f>tertiair!I16</f>
        <v>0</v>
      </c>
      <c r="K10" s="702">
        <f>tertiair!J16</f>
        <v>0</v>
      </c>
      <c r="L10" s="702">
        <f>tertiair!K16</f>
        <v>0</v>
      </c>
      <c r="M10" s="702">
        <f ca="1">tertiair!L16</f>
        <v>0</v>
      </c>
      <c r="N10" s="702">
        <f>tertiair!M16</f>
        <v>0</v>
      </c>
      <c r="O10" s="702">
        <f ca="1">tertiair!N16</f>
        <v>215.74008902256784</v>
      </c>
      <c r="P10" s="702">
        <f>tertiair!O16</f>
        <v>1.5633333333333335</v>
      </c>
      <c r="Q10" s="703">
        <f>tertiair!P16</f>
        <v>0</v>
      </c>
      <c r="R10" s="705">
        <f ca="1">SUM(C10:Q10)</f>
        <v>13939.743876289667</v>
      </c>
      <c r="S10" s="67"/>
    </row>
    <row r="11" spans="1:19" s="457" customFormat="1">
      <c r="A11" s="858" t="s">
        <v>226</v>
      </c>
      <c r="B11" s="863"/>
      <c r="C11" s="702">
        <f>huishoudens!B8</f>
        <v>23427.833369968743</v>
      </c>
      <c r="D11" s="702">
        <f>huishoudens!C8</f>
        <v>0</v>
      </c>
      <c r="E11" s="702">
        <f>huishoudens!D8</f>
        <v>31387.233151999997</v>
      </c>
      <c r="F11" s="702">
        <f>huishoudens!E8</f>
        <v>4042.4855449470265</v>
      </c>
      <c r="G11" s="702">
        <f>huishoudens!F8</f>
        <v>39666.543355162124</v>
      </c>
      <c r="H11" s="702">
        <f>huishoudens!G8</f>
        <v>0</v>
      </c>
      <c r="I11" s="702">
        <f>huishoudens!H8</f>
        <v>0</v>
      </c>
      <c r="J11" s="702">
        <f>huishoudens!I8</f>
        <v>0</v>
      </c>
      <c r="K11" s="702">
        <f>huishoudens!J8</f>
        <v>0</v>
      </c>
      <c r="L11" s="702">
        <f>huishoudens!K8</f>
        <v>0</v>
      </c>
      <c r="M11" s="702">
        <f>huishoudens!L8</f>
        <v>0</v>
      </c>
      <c r="N11" s="702">
        <f>huishoudens!M8</f>
        <v>0</v>
      </c>
      <c r="O11" s="702">
        <f>huishoudens!N8</f>
        <v>11037.35040836452</v>
      </c>
      <c r="P11" s="702">
        <f>huishoudens!O8</f>
        <v>82.856666666666683</v>
      </c>
      <c r="Q11" s="703">
        <f>huishoudens!P8</f>
        <v>171.6</v>
      </c>
      <c r="R11" s="705">
        <f>SUM(C11:Q11)</f>
        <v>109815.9024971091</v>
      </c>
      <c r="S11" s="67"/>
    </row>
    <row r="12" spans="1:19" s="457" customFormat="1">
      <c r="A12" s="858" t="s">
        <v>510</v>
      </c>
      <c r="B12" s="863"/>
      <c r="C12" s="702">
        <f>'Eigen openbare verlichting'!B15</f>
        <v>0</v>
      </c>
      <c r="D12" s="702"/>
      <c r="E12" s="702"/>
      <c r="F12" s="702"/>
      <c r="G12" s="702"/>
      <c r="H12" s="702"/>
      <c r="I12" s="702"/>
      <c r="J12" s="702"/>
      <c r="K12" s="702"/>
      <c r="L12" s="702"/>
      <c r="M12" s="702"/>
      <c r="N12" s="702"/>
      <c r="O12" s="702"/>
      <c r="P12" s="702"/>
      <c r="Q12" s="702"/>
      <c r="R12" s="705">
        <f>SUM(C12:Q12)</f>
        <v>0</v>
      </c>
      <c r="S12" s="67"/>
    </row>
    <row r="13" spans="1:19" s="457" customFormat="1">
      <c r="A13" s="858" t="s">
        <v>659</v>
      </c>
      <c r="B13" s="868" t="s">
        <v>657</v>
      </c>
      <c r="C13" s="702">
        <f>industrie!B18</f>
        <v>2922.4690000000001</v>
      </c>
      <c r="D13" s="702">
        <f>industrie!C18</f>
        <v>0</v>
      </c>
      <c r="E13" s="702">
        <f>industrie!D18</f>
        <v>1701.1485480000001</v>
      </c>
      <c r="F13" s="702">
        <f>industrie!E18</f>
        <v>37.092573745283914</v>
      </c>
      <c r="G13" s="702">
        <f>industrie!F18</f>
        <v>1427.2289104483818</v>
      </c>
      <c r="H13" s="702">
        <f>industrie!G18</f>
        <v>0</v>
      </c>
      <c r="I13" s="702">
        <f>industrie!H18</f>
        <v>0</v>
      </c>
      <c r="J13" s="702">
        <f>industrie!I18</f>
        <v>0</v>
      </c>
      <c r="K13" s="702">
        <f>industrie!J18</f>
        <v>20.964896430959197</v>
      </c>
      <c r="L13" s="702">
        <f>industrie!K18</f>
        <v>0</v>
      </c>
      <c r="M13" s="702">
        <f>industrie!L18</f>
        <v>0</v>
      </c>
      <c r="N13" s="702">
        <f>industrie!M18</f>
        <v>0</v>
      </c>
      <c r="O13" s="702">
        <f>industrie!N18</f>
        <v>128.89409729144262</v>
      </c>
      <c r="P13" s="702">
        <f>industrie!O18</f>
        <v>0</v>
      </c>
      <c r="Q13" s="703">
        <f>industrie!P18</f>
        <v>0</v>
      </c>
      <c r="R13" s="705">
        <f>SUM(C13:Q13)</f>
        <v>6237.7980259160668</v>
      </c>
      <c r="S13" s="67"/>
    </row>
    <row r="14" spans="1:19" s="457" customFormat="1" ht="15" thickBot="1">
      <c r="A14" s="858"/>
      <c r="B14" s="869" t="s">
        <v>658</v>
      </c>
      <c r="C14" s="702"/>
      <c r="D14" s="702"/>
      <c r="E14" s="702"/>
      <c r="F14" s="702"/>
      <c r="G14" s="702"/>
      <c r="H14" s="702"/>
      <c r="I14" s="702"/>
      <c r="J14" s="702"/>
      <c r="K14" s="702"/>
      <c r="L14" s="702"/>
      <c r="M14" s="702"/>
      <c r="N14" s="702"/>
      <c r="O14" s="702"/>
      <c r="P14" s="702"/>
      <c r="Q14" s="702"/>
      <c r="R14" s="705"/>
      <c r="S14" s="67"/>
    </row>
    <row r="15" spans="1:19" s="457" customFormat="1" ht="15.75" thickBot="1">
      <c r="A15" s="706" t="s">
        <v>227</v>
      </c>
      <c r="B15" s="865"/>
      <c r="C15" s="747">
        <f ca="1">SUM(C9:C14)</f>
        <v>33623.629369968745</v>
      </c>
      <c r="D15" s="707">
        <f t="shared" ref="D15:Q15" ca="1" si="0">SUM(D9:D14)</f>
        <v>0</v>
      </c>
      <c r="E15" s="707">
        <f t="shared" ca="1" si="0"/>
        <v>38076.287457999992</v>
      </c>
      <c r="F15" s="707">
        <f t="shared" si="0"/>
        <v>4219.7014405429954</v>
      </c>
      <c r="G15" s="707">
        <f t="shared" ca="1" si="0"/>
        <v>42414.856639693586</v>
      </c>
      <c r="H15" s="707">
        <f t="shared" si="0"/>
        <v>0</v>
      </c>
      <c r="I15" s="707">
        <f t="shared" si="0"/>
        <v>0</v>
      </c>
      <c r="J15" s="707">
        <f t="shared" si="0"/>
        <v>0</v>
      </c>
      <c r="K15" s="707">
        <f t="shared" si="0"/>
        <v>20.964896430959197</v>
      </c>
      <c r="L15" s="707">
        <f t="shared" si="0"/>
        <v>0</v>
      </c>
      <c r="M15" s="707">
        <f t="shared" ca="1" si="0"/>
        <v>0</v>
      </c>
      <c r="N15" s="707">
        <f t="shared" si="0"/>
        <v>0</v>
      </c>
      <c r="O15" s="707">
        <f t="shared" ca="1" si="0"/>
        <v>11381.98459467853</v>
      </c>
      <c r="P15" s="707">
        <f t="shared" si="0"/>
        <v>84.420000000000016</v>
      </c>
      <c r="Q15" s="708">
        <f t="shared" si="0"/>
        <v>171.6</v>
      </c>
      <c r="R15" s="709">
        <f ca="1">SUM(R9:R14)</f>
        <v>129993.44439931483</v>
      </c>
      <c r="S15" s="67"/>
    </row>
    <row r="16" spans="1:19" s="457" customFormat="1" ht="15.75">
      <c r="A16" s="860" t="s">
        <v>228</v>
      </c>
      <c r="B16" s="752"/>
      <c r="C16" s="1058"/>
      <c r="D16" s="1058"/>
      <c r="E16" s="1058"/>
      <c r="F16" s="1058"/>
      <c r="G16" s="1058"/>
      <c r="H16" s="1058"/>
      <c r="I16" s="1058"/>
      <c r="J16" s="1058"/>
      <c r="K16" s="1058"/>
      <c r="L16" s="1058"/>
      <c r="M16" s="1058"/>
      <c r="N16" s="1058"/>
      <c r="O16" s="1058"/>
      <c r="P16" s="1058"/>
      <c r="Q16" s="1058"/>
      <c r="R16" s="710"/>
      <c r="S16" s="67"/>
    </row>
    <row r="17" spans="1:19" s="457" customFormat="1">
      <c r="A17" s="858" t="s">
        <v>229</v>
      </c>
      <c r="B17" s="863"/>
      <c r="C17" s="702">
        <f>'Eigen vloot'!B27</f>
        <v>0</v>
      </c>
      <c r="D17" s="702">
        <f>'Eigen vloot'!C27</f>
        <v>0</v>
      </c>
      <c r="E17" s="702">
        <f>'Eigen vloot'!D27</f>
        <v>0</v>
      </c>
      <c r="F17" s="702">
        <f>'Eigen vloot'!E27</f>
        <v>0</v>
      </c>
      <c r="G17" s="702">
        <f>'Eigen vloot'!F27</f>
        <v>0</v>
      </c>
      <c r="H17" s="702">
        <f>'Eigen vloot'!G27</f>
        <v>0</v>
      </c>
      <c r="I17" s="702">
        <f>'Eigen vloot'!H27</f>
        <v>0</v>
      </c>
      <c r="J17" s="702">
        <f>'Eigen vloot'!I27</f>
        <v>0</v>
      </c>
      <c r="K17" s="702">
        <f>'Eigen vloot'!J27</f>
        <v>0</v>
      </c>
      <c r="L17" s="702">
        <f>'Eigen vloot'!K27</f>
        <v>0</v>
      </c>
      <c r="M17" s="702">
        <f>'Eigen vloot'!L27</f>
        <v>0</v>
      </c>
      <c r="N17" s="702">
        <f>'Eigen vloot'!M27</f>
        <v>0</v>
      </c>
      <c r="O17" s="702">
        <f>'Eigen vloot'!N27</f>
        <v>0</v>
      </c>
      <c r="P17" s="702">
        <f>'Eigen vloot'!O27</f>
        <v>0</v>
      </c>
      <c r="Q17" s="703">
        <f>'Eigen vloot'!P27</f>
        <v>0</v>
      </c>
      <c r="R17" s="705">
        <f>SUM(C17:Q17)</f>
        <v>0</v>
      </c>
      <c r="S17" s="67"/>
    </row>
    <row r="18" spans="1:19" s="457" customFormat="1">
      <c r="A18" s="858" t="s">
        <v>230</v>
      </c>
      <c r="B18" s="863"/>
      <c r="C18" s="702">
        <f>transport!B54</f>
        <v>0</v>
      </c>
      <c r="D18" s="702">
        <f>transport!C54</f>
        <v>0</v>
      </c>
      <c r="E18" s="702">
        <f>transport!D54</f>
        <v>0</v>
      </c>
      <c r="F18" s="702">
        <f>transport!E54</f>
        <v>0</v>
      </c>
      <c r="G18" s="702">
        <f>transport!F54</f>
        <v>0</v>
      </c>
      <c r="H18" s="702">
        <f>transport!G54</f>
        <v>2347.4114777376458</v>
      </c>
      <c r="I18" s="702">
        <f>transport!H54</f>
        <v>0</v>
      </c>
      <c r="J18" s="702">
        <f>transport!I54</f>
        <v>0</v>
      </c>
      <c r="K18" s="702">
        <f>transport!J54</f>
        <v>0</v>
      </c>
      <c r="L18" s="702">
        <f>transport!K54</f>
        <v>0</v>
      </c>
      <c r="M18" s="702">
        <f>transport!L54</f>
        <v>0</v>
      </c>
      <c r="N18" s="702">
        <f>transport!M54</f>
        <v>100.05995302179817</v>
      </c>
      <c r="O18" s="702">
        <f>transport!N54</f>
        <v>0</v>
      </c>
      <c r="P18" s="702">
        <f>transport!O54</f>
        <v>0</v>
      </c>
      <c r="Q18" s="703">
        <f>transport!P54</f>
        <v>0</v>
      </c>
      <c r="R18" s="705">
        <f>SUM(C18:Q18)</f>
        <v>2447.471430759444</v>
      </c>
      <c r="S18" s="67"/>
    </row>
    <row r="19" spans="1:19" s="457" customFormat="1" ht="15" thickBot="1">
      <c r="A19" s="858" t="s">
        <v>308</v>
      </c>
      <c r="B19" s="863"/>
      <c r="C19" s="711">
        <f>transport!B14</f>
        <v>1.038063305891811</v>
      </c>
      <c r="D19" s="711">
        <f>transport!C14</f>
        <v>0</v>
      </c>
      <c r="E19" s="711">
        <f>transport!D14</f>
        <v>4.7274015345727181</v>
      </c>
      <c r="F19" s="711">
        <f>transport!E14</f>
        <v>486.69886549784815</v>
      </c>
      <c r="G19" s="711">
        <f>transport!F14</f>
        <v>0</v>
      </c>
      <c r="H19" s="711">
        <f>transport!G14</f>
        <v>89845.843604639696</v>
      </c>
      <c r="I19" s="711">
        <f>transport!H14</f>
        <v>15851.422329907942</v>
      </c>
      <c r="J19" s="711">
        <f>transport!I14</f>
        <v>0</v>
      </c>
      <c r="K19" s="711">
        <f>transport!J14</f>
        <v>0</v>
      </c>
      <c r="L19" s="711">
        <f>transport!K14</f>
        <v>0</v>
      </c>
      <c r="M19" s="711">
        <f>transport!L14</f>
        <v>0</v>
      </c>
      <c r="N19" s="711">
        <f>transport!M14</f>
        <v>4613.1174395219859</v>
      </c>
      <c r="O19" s="711">
        <f>transport!N14</f>
        <v>0</v>
      </c>
      <c r="P19" s="711">
        <f>transport!O14</f>
        <v>0</v>
      </c>
      <c r="Q19" s="712">
        <f>transport!P14</f>
        <v>0</v>
      </c>
      <c r="R19" s="713">
        <f>SUM(C19:Q19)</f>
        <v>110802.84770440793</v>
      </c>
      <c r="S19" s="67"/>
    </row>
    <row r="20" spans="1:19" s="457" customFormat="1" ht="15.75" thickBot="1">
      <c r="A20" s="714" t="s">
        <v>231</v>
      </c>
      <c r="B20" s="866"/>
      <c r="C20" s="861">
        <f>SUM(C17:C19)</f>
        <v>1.038063305891811</v>
      </c>
      <c r="D20" s="715">
        <f t="shared" ref="D20:R20" si="1">SUM(D17:D19)</f>
        <v>0</v>
      </c>
      <c r="E20" s="715">
        <f t="shared" si="1"/>
        <v>4.7274015345727181</v>
      </c>
      <c r="F20" s="715">
        <f t="shared" si="1"/>
        <v>486.69886549784815</v>
      </c>
      <c r="G20" s="715">
        <f t="shared" si="1"/>
        <v>0</v>
      </c>
      <c r="H20" s="715">
        <f t="shared" si="1"/>
        <v>92193.255082377349</v>
      </c>
      <c r="I20" s="715">
        <f t="shared" si="1"/>
        <v>15851.422329907942</v>
      </c>
      <c r="J20" s="715">
        <f t="shared" si="1"/>
        <v>0</v>
      </c>
      <c r="K20" s="715">
        <f t="shared" si="1"/>
        <v>0</v>
      </c>
      <c r="L20" s="715">
        <f t="shared" si="1"/>
        <v>0</v>
      </c>
      <c r="M20" s="715">
        <f t="shared" si="1"/>
        <v>0</v>
      </c>
      <c r="N20" s="715">
        <f t="shared" si="1"/>
        <v>4713.1773925437838</v>
      </c>
      <c r="O20" s="715">
        <f t="shared" si="1"/>
        <v>0</v>
      </c>
      <c r="P20" s="715">
        <f t="shared" si="1"/>
        <v>0</v>
      </c>
      <c r="Q20" s="716">
        <f t="shared" si="1"/>
        <v>0</v>
      </c>
      <c r="R20" s="717">
        <f t="shared" si="1"/>
        <v>113250.31913516737</v>
      </c>
      <c r="S20" s="67"/>
    </row>
    <row r="21" spans="1:19" s="457" customFormat="1" ht="15.75">
      <c r="A21" s="860" t="s">
        <v>238</v>
      </c>
      <c r="B21" s="752"/>
      <c r="C21" s="1058"/>
      <c r="D21" s="1058"/>
      <c r="E21" s="1058"/>
      <c r="F21" s="1058"/>
      <c r="G21" s="1058"/>
      <c r="H21" s="1058"/>
      <c r="I21" s="1058"/>
      <c r="J21" s="1058"/>
      <c r="K21" s="1058"/>
      <c r="L21" s="1058"/>
      <c r="M21" s="1058"/>
      <c r="N21" s="1058"/>
      <c r="O21" s="1058"/>
      <c r="P21" s="1058"/>
      <c r="Q21" s="1058"/>
      <c r="R21" s="710"/>
      <c r="S21" s="67"/>
    </row>
    <row r="22" spans="1:19" s="457" customFormat="1" ht="15" thickBot="1">
      <c r="A22" s="858" t="s">
        <v>652</v>
      </c>
      <c r="B22" s="867"/>
      <c r="C22" s="711">
        <f>+landbouw!B8</f>
        <v>464.58600000000001</v>
      </c>
      <c r="D22" s="711">
        <f>+landbouw!C8</f>
        <v>0</v>
      </c>
      <c r="E22" s="711">
        <f>+landbouw!D8</f>
        <v>49.585645999999997</v>
      </c>
      <c r="F22" s="711">
        <f>+landbouw!E8</f>
        <v>4.8652451707674214</v>
      </c>
      <c r="G22" s="711">
        <f>+landbouw!F8</f>
        <v>2386.1876693655422</v>
      </c>
      <c r="H22" s="711">
        <f>+landbouw!G8</f>
        <v>0</v>
      </c>
      <c r="I22" s="711">
        <f>+landbouw!H8</f>
        <v>0</v>
      </c>
      <c r="J22" s="711">
        <f>+landbouw!I8</f>
        <v>0</v>
      </c>
      <c r="K22" s="711">
        <f>+landbouw!J8</f>
        <v>41.491693955357078</v>
      </c>
      <c r="L22" s="711">
        <f>+landbouw!K8</f>
        <v>0</v>
      </c>
      <c r="M22" s="711">
        <f>+landbouw!L8</f>
        <v>0</v>
      </c>
      <c r="N22" s="711">
        <f>+landbouw!M8</f>
        <v>0</v>
      </c>
      <c r="O22" s="711">
        <f>+landbouw!N8</f>
        <v>0</v>
      </c>
      <c r="P22" s="711">
        <f>+landbouw!O8</f>
        <v>0</v>
      </c>
      <c r="Q22" s="712">
        <f>+landbouw!P8</f>
        <v>0</v>
      </c>
      <c r="R22" s="713">
        <f>SUM(C22:Q22)</f>
        <v>2946.7162544916669</v>
      </c>
      <c r="S22" s="67"/>
    </row>
    <row r="23" spans="1:19" s="457" customFormat="1" ht="17.25" thickTop="1" thickBot="1">
      <c r="A23" s="718" t="s">
        <v>116</v>
      </c>
      <c r="B23" s="852"/>
      <c r="C23" s="719">
        <f ca="1">C20+C15+C22</f>
        <v>34089.253433274636</v>
      </c>
      <c r="D23" s="719">
        <f t="shared" ref="D23:Q23" ca="1" si="2">D20+D15+D22</f>
        <v>0</v>
      </c>
      <c r="E23" s="719">
        <f t="shared" ca="1" si="2"/>
        <v>38130.600505534567</v>
      </c>
      <c r="F23" s="719">
        <f t="shared" si="2"/>
        <v>4711.2655512116107</v>
      </c>
      <c r="G23" s="719">
        <f t="shared" ca="1" si="2"/>
        <v>44801.044309059129</v>
      </c>
      <c r="H23" s="719">
        <f t="shared" si="2"/>
        <v>92193.255082377349</v>
      </c>
      <c r="I23" s="719">
        <f t="shared" si="2"/>
        <v>15851.422329907942</v>
      </c>
      <c r="J23" s="719">
        <f t="shared" si="2"/>
        <v>0</v>
      </c>
      <c r="K23" s="719">
        <f t="shared" si="2"/>
        <v>62.456590386316279</v>
      </c>
      <c r="L23" s="719">
        <f t="shared" si="2"/>
        <v>0</v>
      </c>
      <c r="M23" s="719">
        <f t="shared" ca="1" si="2"/>
        <v>0</v>
      </c>
      <c r="N23" s="719">
        <f t="shared" si="2"/>
        <v>4713.1773925437838</v>
      </c>
      <c r="O23" s="719">
        <f t="shared" ca="1" si="2"/>
        <v>11381.98459467853</v>
      </c>
      <c r="P23" s="719">
        <f t="shared" si="2"/>
        <v>84.420000000000016</v>
      </c>
      <c r="Q23" s="720">
        <f t="shared" si="2"/>
        <v>171.6</v>
      </c>
      <c r="R23" s="721">
        <f ca="1">R20+R15+R22</f>
        <v>246190.4797889739</v>
      </c>
      <c r="S23" s="67"/>
    </row>
    <row r="24" spans="1:19" ht="15.75" customHeight="1" thickBot="1">
      <c r="A24" s="722"/>
      <c r="B24" s="722"/>
      <c r="C24" s="723"/>
      <c r="D24" s="723"/>
      <c r="E24" s="723"/>
      <c r="F24" s="723"/>
      <c r="G24" s="723"/>
      <c r="H24" s="723"/>
      <c r="I24" s="723"/>
      <c r="J24" s="723"/>
      <c r="K24" s="723"/>
      <c r="L24" s="723"/>
      <c r="M24" s="723"/>
      <c r="N24" s="723"/>
      <c r="O24" s="723"/>
      <c r="P24" s="723"/>
      <c r="Q24" s="723"/>
      <c r="R24" s="723"/>
    </row>
    <row r="25" spans="1:19" ht="41.25" customHeight="1" thickTop="1" thickBot="1">
      <c r="A25" s="724" t="s">
        <v>346</v>
      </c>
      <c r="B25" s="724"/>
      <c r="C25" s="725">
        <f>'EF ele_warmte'!B5</f>
        <v>0</v>
      </c>
      <c r="D25" s="726"/>
      <c r="E25" s="727"/>
      <c r="F25" s="726"/>
      <c r="G25" s="726"/>
      <c r="H25" s="726"/>
      <c r="I25" s="726"/>
      <c r="J25" s="726"/>
      <c r="K25" s="726"/>
      <c r="L25" s="726"/>
      <c r="M25" s="726"/>
      <c r="N25" s="726"/>
      <c r="O25" s="726"/>
      <c r="P25" s="726"/>
      <c r="Q25" s="726"/>
      <c r="R25" s="726"/>
    </row>
    <row r="26" spans="1:19" ht="31.5" thickTop="1" thickBot="1">
      <c r="A26" s="728" t="s">
        <v>347</v>
      </c>
      <c r="B26" s="728"/>
      <c r="C26" s="729" t="s">
        <v>212</v>
      </c>
      <c r="D26" s="730"/>
      <c r="E26" s="730"/>
      <c r="F26" s="730"/>
      <c r="G26" s="730"/>
      <c r="H26" s="731"/>
      <c r="I26" s="732"/>
      <c r="J26" s="732"/>
      <c r="K26" s="732"/>
      <c r="L26" s="732"/>
      <c r="M26" s="732"/>
      <c r="N26" s="732"/>
      <c r="O26" s="732"/>
      <c r="P26" s="732"/>
      <c r="Q26" s="732"/>
      <c r="R26" s="732"/>
    </row>
    <row r="27" spans="1:19" ht="15" thickTop="1">
      <c r="A27" s="1059"/>
      <c r="B27" s="1059"/>
      <c r="C27" s="1059"/>
      <c r="D27" s="733"/>
      <c r="E27" s="732"/>
      <c r="F27" s="732"/>
      <c r="G27" s="732"/>
      <c r="H27" s="732"/>
      <c r="I27" s="732"/>
      <c r="J27" s="732"/>
      <c r="K27" s="732"/>
      <c r="L27" s="732"/>
      <c r="M27" s="732"/>
      <c r="N27" s="732"/>
      <c r="O27" s="732"/>
      <c r="P27" s="732"/>
      <c r="Q27" s="732"/>
      <c r="R27" s="732"/>
    </row>
    <row r="28" spans="1:19" ht="15.75">
      <c r="A28" s="734" t="s">
        <v>232</v>
      </c>
      <c r="B28" s="734"/>
      <c r="C28" s="733"/>
      <c r="D28" s="733"/>
      <c r="E28" s="732"/>
      <c r="F28" s="732"/>
      <c r="G28" s="732"/>
      <c r="H28" s="732"/>
      <c r="I28" s="732"/>
      <c r="J28" s="732"/>
      <c r="K28" s="732"/>
      <c r="L28" s="732"/>
      <c r="M28" s="732"/>
      <c r="N28" s="732"/>
      <c r="O28" s="732"/>
      <c r="P28" s="732"/>
      <c r="Q28" s="732"/>
      <c r="R28" s="732"/>
    </row>
    <row r="29" spans="1:19">
      <c r="A29" s="1060"/>
      <c r="B29" s="1060"/>
      <c r="C29" s="1060"/>
      <c r="D29" s="1060"/>
      <c r="E29" s="1060"/>
      <c r="F29" s="1060"/>
      <c r="G29" s="1060"/>
      <c r="H29" s="1060"/>
      <c r="I29" s="1060"/>
      <c r="J29" s="1060"/>
      <c r="K29" s="1060"/>
      <c r="L29" s="1060"/>
      <c r="M29" s="1060"/>
      <c r="N29" s="1060"/>
      <c r="O29" s="1060"/>
      <c r="P29" s="1060"/>
      <c r="Q29" s="1060"/>
      <c r="R29" s="1060"/>
    </row>
    <row r="30" spans="1:19" ht="15.75" thickBot="1">
      <c r="A30" s="735"/>
      <c r="B30" s="735"/>
      <c r="C30" s="736"/>
      <c r="D30" s="736"/>
      <c r="E30" s="736"/>
      <c r="F30" s="736"/>
      <c r="G30" s="736"/>
      <c r="H30" s="736"/>
      <c r="I30" s="736"/>
      <c r="J30" s="736"/>
      <c r="K30" s="736"/>
      <c r="L30" s="736"/>
      <c r="M30" s="736"/>
      <c r="N30" s="736"/>
      <c r="O30" s="736"/>
      <c r="P30" s="736"/>
      <c r="Q30" s="736"/>
      <c r="R30" s="736"/>
    </row>
    <row r="31" spans="1:19" ht="17.25" thickTop="1" thickBot="1">
      <c r="A31" s="1061"/>
      <c r="B31" s="870"/>
      <c r="C31" s="1063" t="s">
        <v>348</v>
      </c>
      <c r="D31" s="1064"/>
      <c r="E31" s="1064"/>
      <c r="F31" s="1064"/>
      <c r="G31" s="1064"/>
      <c r="H31" s="1064"/>
      <c r="I31" s="1064"/>
      <c r="J31" s="1064"/>
      <c r="K31" s="1064"/>
      <c r="L31" s="1064"/>
      <c r="M31" s="1064"/>
      <c r="N31" s="1064"/>
      <c r="O31" s="1064"/>
      <c r="P31" s="1064"/>
      <c r="Q31" s="1064"/>
      <c r="R31" s="1065"/>
    </row>
    <row r="32" spans="1:19" ht="16.5" thickTop="1">
      <c r="A32" s="1062"/>
      <c r="B32" s="871"/>
      <c r="C32" s="1066" t="s">
        <v>21</v>
      </c>
      <c r="D32" s="1068" t="s">
        <v>233</v>
      </c>
      <c r="E32" s="1070" t="s">
        <v>198</v>
      </c>
      <c r="F32" s="1071"/>
      <c r="G32" s="1071"/>
      <c r="H32" s="1071"/>
      <c r="I32" s="1071"/>
      <c r="J32" s="1071"/>
      <c r="K32" s="1071"/>
      <c r="L32" s="1072"/>
      <c r="M32" s="1070" t="s">
        <v>199</v>
      </c>
      <c r="N32" s="1071"/>
      <c r="O32" s="1071"/>
      <c r="P32" s="1071"/>
      <c r="Q32" s="1071"/>
      <c r="R32" s="1073" t="s">
        <v>116</v>
      </c>
    </row>
    <row r="33" spans="1:18" ht="45.75" thickBot="1">
      <c r="A33" s="1062"/>
      <c r="B33" s="871"/>
      <c r="C33" s="1067"/>
      <c r="D33" s="1069"/>
      <c r="E33" s="737" t="s">
        <v>200</v>
      </c>
      <c r="F33" s="737" t="s">
        <v>201</v>
      </c>
      <c r="G33" s="737" t="s">
        <v>202</v>
      </c>
      <c r="H33" s="737" t="s">
        <v>203</v>
      </c>
      <c r="I33" s="737" t="s">
        <v>120</v>
      </c>
      <c r="J33" s="737" t="s">
        <v>204</v>
      </c>
      <c r="K33" s="738" t="s">
        <v>234</v>
      </c>
      <c r="L33" s="738" t="s">
        <v>206</v>
      </c>
      <c r="M33" s="737" t="s">
        <v>207</v>
      </c>
      <c r="N33" s="737" t="s">
        <v>208</v>
      </c>
      <c r="O33" s="737" t="s">
        <v>235</v>
      </c>
      <c r="P33" s="737" t="s">
        <v>236</v>
      </c>
      <c r="Q33" s="738" t="s">
        <v>211</v>
      </c>
      <c r="R33" s="1074"/>
    </row>
    <row r="34" spans="1:18" ht="17.25" thickTop="1" thickBot="1">
      <c r="A34" s="883" t="s">
        <v>345</v>
      </c>
      <c r="B34" s="884"/>
      <c r="C34" s="739" t="s">
        <v>237</v>
      </c>
      <c r="D34" s="740"/>
      <c r="E34" s="741"/>
      <c r="F34" s="741"/>
      <c r="G34" s="741"/>
      <c r="H34" s="741"/>
      <c r="I34" s="741"/>
      <c r="J34" s="741"/>
      <c r="K34" s="741"/>
      <c r="L34" s="741"/>
      <c r="M34" s="742"/>
      <c r="N34" s="742"/>
      <c r="O34" s="741"/>
      <c r="P34" s="742"/>
      <c r="Q34" s="743"/>
      <c r="R34" s="744"/>
    </row>
    <row r="35" spans="1:18" ht="15" thickTop="1">
      <c r="A35" s="853" t="s">
        <v>224</v>
      </c>
      <c r="B35" s="880"/>
      <c r="C35" s="702">
        <f ca="1">'Eigen gebouwen'!B19</f>
        <v>0</v>
      </c>
      <c r="D35" s="702">
        <f ca="1">'Eigen gebouwen'!C19</f>
        <v>0</v>
      </c>
      <c r="E35" s="702">
        <f>'Eigen gebouwen'!D19</f>
        <v>0</v>
      </c>
      <c r="F35" s="702">
        <f>'Eigen gebouwen'!E19</f>
        <v>0</v>
      </c>
      <c r="G35" s="702">
        <f>'Eigen gebouwen'!F19</f>
        <v>0</v>
      </c>
      <c r="H35" s="702">
        <f>'Eigen gebouwen'!G19</f>
        <v>0</v>
      </c>
      <c r="I35" s="702">
        <f>'Eigen gebouwen'!H19</f>
        <v>0</v>
      </c>
      <c r="J35" s="702">
        <f>'Eigen gebouwen'!I19</f>
        <v>0</v>
      </c>
      <c r="K35" s="702">
        <f>'Eigen gebouwen'!J19</f>
        <v>0</v>
      </c>
      <c r="L35" s="702">
        <f>'Eigen gebouwen'!K19</f>
        <v>0</v>
      </c>
      <c r="M35" s="702">
        <f>'Eigen gebouwen'!L19</f>
        <v>0</v>
      </c>
      <c r="N35" s="702">
        <f>'Eigen gebouwen'!M19</f>
        <v>0</v>
      </c>
      <c r="O35" s="702">
        <f>'Eigen gebouwen'!N19</f>
        <v>0</v>
      </c>
      <c r="P35" s="702">
        <f>'Eigen gebouwen'!O19</f>
        <v>0</v>
      </c>
      <c r="Q35" s="812">
        <f>'Eigen gebouwen'!P19</f>
        <v>0</v>
      </c>
      <c r="R35" s="904">
        <f ca="1">SUM(C35:Q35)</f>
        <v>0</v>
      </c>
    </row>
    <row r="36" spans="1:18">
      <c r="A36" s="859" t="s">
        <v>225</v>
      </c>
      <c r="B36" s="881"/>
      <c r="C36" s="702">
        <f ca="1">tertiair!B20+'openbare verlichting'!B12</f>
        <v>1492.6645574504453</v>
      </c>
      <c r="D36" s="702">
        <f ca="1">tertiair!C20</f>
        <v>0</v>
      </c>
      <c r="E36" s="702">
        <f ca="1">tertiair!D20</f>
        <v>1007.5569631160002</v>
      </c>
      <c r="F36" s="702">
        <f>tertiair!E20</f>
        <v>31.807994060105667</v>
      </c>
      <c r="G36" s="702">
        <f ca="1">tertiair!F20</f>
        <v>352.72952788018222</v>
      </c>
      <c r="H36" s="702">
        <f>tertiair!G20</f>
        <v>0</v>
      </c>
      <c r="I36" s="702">
        <f>tertiair!H20</f>
        <v>0</v>
      </c>
      <c r="J36" s="702">
        <f>tertiair!I20</f>
        <v>0</v>
      </c>
      <c r="K36" s="702">
        <f>tertiair!J20</f>
        <v>0</v>
      </c>
      <c r="L36" s="702">
        <f>tertiair!K20</f>
        <v>0</v>
      </c>
      <c r="M36" s="702">
        <f ca="1">tertiair!L20</f>
        <v>0</v>
      </c>
      <c r="N36" s="702">
        <f>tertiair!M20</f>
        <v>0</v>
      </c>
      <c r="O36" s="702">
        <f ca="1">tertiair!N20</f>
        <v>0</v>
      </c>
      <c r="P36" s="702">
        <f>tertiair!O20</f>
        <v>0</v>
      </c>
      <c r="Q36" s="812">
        <f>tertiair!P20</f>
        <v>0</v>
      </c>
      <c r="R36" s="905">
        <f ca="1">SUM(C36:Q36)</f>
        <v>2884.7590425067333</v>
      </c>
    </row>
    <row r="37" spans="1:18">
      <c r="A37" s="873" t="s">
        <v>226</v>
      </c>
      <c r="B37" s="880"/>
      <c r="C37" s="702">
        <f ca="1">huishoudens!B12</f>
        <v>4807.9642960102256</v>
      </c>
      <c r="D37" s="702">
        <f ca="1">huishoudens!C12</f>
        <v>0</v>
      </c>
      <c r="E37" s="702">
        <f>huishoudens!D12</f>
        <v>6340.221096704</v>
      </c>
      <c r="F37" s="702">
        <f>huishoudens!E12</f>
        <v>917.64421870297508</v>
      </c>
      <c r="G37" s="702">
        <f>huishoudens!F12</f>
        <v>10590.967075828288</v>
      </c>
      <c r="H37" s="702">
        <f>huishoudens!G12</f>
        <v>0</v>
      </c>
      <c r="I37" s="702">
        <f>huishoudens!H12</f>
        <v>0</v>
      </c>
      <c r="J37" s="702">
        <f>huishoudens!I12</f>
        <v>0</v>
      </c>
      <c r="K37" s="702">
        <f>huishoudens!J12</f>
        <v>0</v>
      </c>
      <c r="L37" s="702">
        <f>huishoudens!K12</f>
        <v>0</v>
      </c>
      <c r="M37" s="702">
        <f>huishoudens!L12</f>
        <v>0</v>
      </c>
      <c r="N37" s="702">
        <f>huishoudens!M12</f>
        <v>0</v>
      </c>
      <c r="O37" s="702">
        <f>huishoudens!N12</f>
        <v>0</v>
      </c>
      <c r="P37" s="702">
        <f>huishoudens!O12</f>
        <v>0</v>
      </c>
      <c r="Q37" s="812">
        <f>huishoudens!P12</f>
        <v>0</v>
      </c>
      <c r="R37" s="905">
        <f ca="1">SUM(C37:Q37)</f>
        <v>22656.796687245489</v>
      </c>
    </row>
    <row r="38" spans="1:18">
      <c r="A38" s="873" t="s">
        <v>510</v>
      </c>
      <c r="B38" s="880"/>
      <c r="C38" s="702">
        <f ca="1">'Eigen openbare verlichting'!B19</f>
        <v>0</v>
      </c>
      <c r="D38" s="702"/>
      <c r="E38" s="702"/>
      <c r="F38" s="702"/>
      <c r="G38" s="702"/>
      <c r="H38" s="702"/>
      <c r="I38" s="702"/>
      <c r="J38" s="702"/>
      <c r="K38" s="702"/>
      <c r="L38" s="702"/>
      <c r="M38" s="702"/>
      <c r="N38" s="702"/>
      <c r="O38" s="702"/>
      <c r="P38" s="702"/>
      <c r="Q38" s="812"/>
      <c r="R38" s="905">
        <f ca="1">SUM(C38:Q38)</f>
        <v>0</v>
      </c>
    </row>
    <row r="39" spans="1:18">
      <c r="A39" s="873" t="s">
        <v>660</v>
      </c>
      <c r="B39" s="888" t="s">
        <v>657</v>
      </c>
      <c r="C39" s="702">
        <f ca="1">industrie!B22</f>
        <v>599.76210289289145</v>
      </c>
      <c r="D39" s="702">
        <f ca="1">industrie!C22</f>
        <v>0</v>
      </c>
      <c r="E39" s="702">
        <f>industrie!D22</f>
        <v>343.63200669600002</v>
      </c>
      <c r="F39" s="702">
        <f>industrie!E22</f>
        <v>8.420014240179448</v>
      </c>
      <c r="G39" s="702">
        <f>industrie!F22</f>
        <v>381.07011908971799</v>
      </c>
      <c r="H39" s="702">
        <f>industrie!G22</f>
        <v>0</v>
      </c>
      <c r="I39" s="702">
        <f>industrie!H22</f>
        <v>0</v>
      </c>
      <c r="J39" s="702">
        <f>industrie!I22</f>
        <v>0</v>
      </c>
      <c r="K39" s="702">
        <f>industrie!J22</f>
        <v>7.4215733365595549</v>
      </c>
      <c r="L39" s="702">
        <f>industrie!K22</f>
        <v>0</v>
      </c>
      <c r="M39" s="702">
        <f>industrie!L22</f>
        <v>0</v>
      </c>
      <c r="N39" s="702">
        <f>industrie!M22</f>
        <v>0</v>
      </c>
      <c r="O39" s="702">
        <f>industrie!N22</f>
        <v>0</v>
      </c>
      <c r="P39" s="702">
        <f>industrie!O22</f>
        <v>0</v>
      </c>
      <c r="Q39" s="812">
        <f>industrie!P22</f>
        <v>0</v>
      </c>
      <c r="R39" s="906">
        <f ca="1">SUM(C39:Q39)</f>
        <v>1340.3058162553484</v>
      </c>
    </row>
    <row r="40" spans="1:18" ht="15" thickBot="1">
      <c r="A40" s="882"/>
      <c r="B40" s="889" t="s">
        <v>658</v>
      </c>
      <c r="C40" s="702"/>
      <c r="D40" s="702"/>
      <c r="E40" s="702"/>
      <c r="F40" s="702"/>
      <c r="G40" s="702"/>
      <c r="H40" s="702"/>
      <c r="I40" s="702"/>
      <c r="J40" s="702"/>
      <c r="K40" s="702"/>
      <c r="L40" s="702"/>
      <c r="M40" s="702"/>
      <c r="N40" s="702"/>
      <c r="O40" s="702"/>
      <c r="P40" s="702"/>
      <c r="Q40" s="908"/>
      <c r="R40" s="907">
        <f t="shared" ref="R40" si="3">SUM(C40:Q40)</f>
        <v>0</v>
      </c>
    </row>
    <row r="41" spans="1:18" ht="15.75" thickBot="1">
      <c r="A41" s="751" t="s">
        <v>227</v>
      </c>
      <c r="B41" s="854"/>
      <c r="C41" s="747">
        <f ca="1">SUM(C35:C40)</f>
        <v>6900.3909563535626</v>
      </c>
      <c r="D41" s="747">
        <f t="shared" ref="D41:R41" ca="1" si="4">SUM(D35:D40)</f>
        <v>0</v>
      </c>
      <c r="E41" s="747">
        <f t="shared" ca="1" si="4"/>
        <v>7691.4100665160004</v>
      </c>
      <c r="F41" s="747">
        <f t="shared" si="4"/>
        <v>957.87222700326015</v>
      </c>
      <c r="G41" s="747">
        <f t="shared" ca="1" si="4"/>
        <v>11324.766722798189</v>
      </c>
      <c r="H41" s="747">
        <f t="shared" si="4"/>
        <v>0</v>
      </c>
      <c r="I41" s="747">
        <f t="shared" si="4"/>
        <v>0</v>
      </c>
      <c r="J41" s="747">
        <f t="shared" si="4"/>
        <v>0</v>
      </c>
      <c r="K41" s="747">
        <f t="shared" si="4"/>
        <v>7.4215733365595549</v>
      </c>
      <c r="L41" s="747">
        <f t="shared" si="4"/>
        <v>0</v>
      </c>
      <c r="M41" s="747">
        <f t="shared" ca="1" si="4"/>
        <v>0</v>
      </c>
      <c r="N41" s="747">
        <f t="shared" si="4"/>
        <v>0</v>
      </c>
      <c r="O41" s="747">
        <f t="shared" ca="1" si="4"/>
        <v>0</v>
      </c>
      <c r="P41" s="747">
        <f t="shared" si="4"/>
        <v>0</v>
      </c>
      <c r="Q41" s="748">
        <f t="shared" si="4"/>
        <v>0</v>
      </c>
      <c r="R41" s="749">
        <f t="shared" ca="1" si="4"/>
        <v>26881.861546007571</v>
      </c>
    </row>
    <row r="42" spans="1:18" ht="15.75">
      <c r="A42" s="875" t="s">
        <v>228</v>
      </c>
      <c r="B42" s="885"/>
      <c r="C42" s="739"/>
      <c r="D42" s="740"/>
      <c r="E42" s="740"/>
      <c r="F42" s="740"/>
      <c r="G42" s="740"/>
      <c r="H42" s="740"/>
      <c r="I42" s="740"/>
      <c r="J42" s="740"/>
      <c r="K42" s="740"/>
      <c r="L42" s="740"/>
      <c r="M42" s="750"/>
      <c r="N42" s="750"/>
      <c r="O42" s="740"/>
      <c r="P42" s="750"/>
      <c r="Q42" s="750"/>
      <c r="R42" s="744"/>
    </row>
    <row r="43" spans="1:18">
      <c r="A43" s="873" t="s">
        <v>229</v>
      </c>
      <c r="B43" s="880"/>
      <c r="C43" s="702">
        <f ca="1">'Eigen vloot'!B31</f>
        <v>0</v>
      </c>
      <c r="D43" s="702">
        <f>'Eigen vloot'!C31</f>
        <v>0</v>
      </c>
      <c r="E43" s="702">
        <f>'Eigen vloot'!D31</f>
        <v>0</v>
      </c>
      <c r="F43" s="702">
        <f>'Eigen vloot'!E31</f>
        <v>0</v>
      </c>
      <c r="G43" s="702">
        <f>'Eigen vloot'!F31</f>
        <v>0</v>
      </c>
      <c r="H43" s="702">
        <f>'Eigen vloot'!G31</f>
        <v>0</v>
      </c>
      <c r="I43" s="702">
        <f>'Eigen vloot'!H31</f>
        <v>0</v>
      </c>
      <c r="J43" s="702">
        <f>'Eigen vloot'!I31</f>
        <v>0</v>
      </c>
      <c r="K43" s="702">
        <f>'Eigen vloot'!J31</f>
        <v>0</v>
      </c>
      <c r="L43" s="702">
        <f>'Eigen vloot'!K31</f>
        <v>0</v>
      </c>
      <c r="M43" s="702">
        <f>'Eigen vloot'!L31</f>
        <v>0</v>
      </c>
      <c r="N43" s="702">
        <f>'Eigen vloot'!M31</f>
        <v>0</v>
      </c>
      <c r="O43" s="702">
        <f>'Eigen vloot'!N31</f>
        <v>0</v>
      </c>
      <c r="P43" s="702">
        <f>'Eigen vloot'!O31</f>
        <v>0</v>
      </c>
      <c r="Q43" s="702">
        <f>'Eigen vloot'!P31</f>
        <v>0</v>
      </c>
      <c r="R43" s="745">
        <f ca="1">SUM(C43:Q43)</f>
        <v>0</v>
      </c>
    </row>
    <row r="44" spans="1:18">
      <c r="A44" s="873" t="s">
        <v>230</v>
      </c>
      <c r="B44" s="880"/>
      <c r="C44" s="702">
        <f ca="1">transport!B58</f>
        <v>0</v>
      </c>
      <c r="D44" s="702">
        <f ca="1">transport!C58</f>
        <v>0</v>
      </c>
      <c r="E44" s="702">
        <f>transport!D58</f>
        <v>0</v>
      </c>
      <c r="F44" s="702">
        <f>transport!E58</f>
        <v>0</v>
      </c>
      <c r="G44" s="702">
        <f>transport!F58</f>
        <v>0</v>
      </c>
      <c r="H44" s="702">
        <f>transport!G58</f>
        <v>626.7588645559515</v>
      </c>
      <c r="I44" s="702">
        <f>transport!H58</f>
        <v>0</v>
      </c>
      <c r="J44" s="702">
        <f>transport!I58</f>
        <v>0</v>
      </c>
      <c r="K44" s="702">
        <f>transport!J58</f>
        <v>0</v>
      </c>
      <c r="L44" s="702">
        <f>transport!K58</f>
        <v>0</v>
      </c>
      <c r="M44" s="702">
        <f>transport!L58</f>
        <v>0</v>
      </c>
      <c r="N44" s="702">
        <f>transport!M58</f>
        <v>0</v>
      </c>
      <c r="O44" s="702">
        <f>transport!N58</f>
        <v>0</v>
      </c>
      <c r="P44" s="702">
        <f>transport!O58</f>
        <v>0</v>
      </c>
      <c r="Q44" s="703">
        <f>transport!P58</f>
        <v>0</v>
      </c>
      <c r="R44" s="745">
        <f ca="1">SUM(C44:Q44)</f>
        <v>626.7588645559515</v>
      </c>
    </row>
    <row r="45" spans="1:18" ht="15" thickBot="1">
      <c r="A45" s="876" t="s">
        <v>308</v>
      </c>
      <c r="B45" s="886"/>
      <c r="C45" s="711">
        <f ca="1">transport!B18</f>
        <v>0.21303597447145525</v>
      </c>
      <c r="D45" s="711">
        <f>transport!C18</f>
        <v>0</v>
      </c>
      <c r="E45" s="711">
        <f>transport!D18</f>
        <v>0.95493510998368913</v>
      </c>
      <c r="F45" s="711">
        <f>transport!E18</f>
        <v>110.48064246801154</v>
      </c>
      <c r="G45" s="711">
        <f>transport!F18</f>
        <v>0</v>
      </c>
      <c r="H45" s="711">
        <f>transport!G18</f>
        <v>23988.8402424388</v>
      </c>
      <c r="I45" s="711">
        <f>transport!H18</f>
        <v>3947.0041601470775</v>
      </c>
      <c r="J45" s="711">
        <f>transport!I18</f>
        <v>0</v>
      </c>
      <c r="K45" s="711">
        <f>transport!J18</f>
        <v>0</v>
      </c>
      <c r="L45" s="711">
        <f>transport!K18</f>
        <v>0</v>
      </c>
      <c r="M45" s="711">
        <f>transport!L18</f>
        <v>0</v>
      </c>
      <c r="N45" s="711">
        <f>transport!M18</f>
        <v>0</v>
      </c>
      <c r="O45" s="711">
        <f>transport!N18</f>
        <v>0</v>
      </c>
      <c r="P45" s="711">
        <f>transport!O18</f>
        <v>0</v>
      </c>
      <c r="Q45" s="712">
        <f>transport!P18</f>
        <v>0</v>
      </c>
      <c r="R45" s="746">
        <f ca="1">SUM(C45:Q45)</f>
        <v>28047.493016138345</v>
      </c>
    </row>
    <row r="46" spans="1:18" ht="15.75" thickBot="1">
      <c r="A46" s="874" t="s">
        <v>231</v>
      </c>
      <c r="B46" s="887"/>
      <c r="C46" s="747">
        <f t="shared" ref="C46:R46" ca="1" si="5">SUM(C43:C45)</f>
        <v>0.21303597447145525</v>
      </c>
      <c r="D46" s="747">
        <f t="shared" ca="1" si="5"/>
        <v>0</v>
      </c>
      <c r="E46" s="747">
        <f t="shared" si="5"/>
        <v>0.95493510998368913</v>
      </c>
      <c r="F46" s="747">
        <f t="shared" si="5"/>
        <v>110.48064246801154</v>
      </c>
      <c r="G46" s="747">
        <f t="shared" si="5"/>
        <v>0</v>
      </c>
      <c r="H46" s="747">
        <f t="shared" si="5"/>
        <v>24615.599106994752</v>
      </c>
      <c r="I46" s="747">
        <f t="shared" si="5"/>
        <v>3947.0041601470775</v>
      </c>
      <c r="J46" s="747">
        <f t="shared" si="5"/>
        <v>0</v>
      </c>
      <c r="K46" s="747">
        <f t="shared" si="5"/>
        <v>0</v>
      </c>
      <c r="L46" s="747">
        <f t="shared" si="5"/>
        <v>0</v>
      </c>
      <c r="M46" s="747">
        <f t="shared" si="5"/>
        <v>0</v>
      </c>
      <c r="N46" s="747">
        <f t="shared" si="5"/>
        <v>0</v>
      </c>
      <c r="O46" s="747">
        <f t="shared" si="5"/>
        <v>0</v>
      </c>
      <c r="P46" s="747">
        <f t="shared" si="5"/>
        <v>0</v>
      </c>
      <c r="Q46" s="748">
        <f t="shared" si="5"/>
        <v>0</v>
      </c>
      <c r="R46" s="749">
        <f t="shared" ca="1" si="5"/>
        <v>28674.251880694297</v>
      </c>
    </row>
    <row r="47" spans="1:18" ht="15.75">
      <c r="A47" s="875" t="s">
        <v>238</v>
      </c>
      <c r="B47" s="851"/>
      <c r="C47" s="739"/>
      <c r="D47" s="740"/>
      <c r="E47" s="740"/>
      <c r="F47" s="740"/>
      <c r="G47" s="740"/>
      <c r="H47" s="740"/>
      <c r="I47" s="740"/>
      <c r="J47" s="740"/>
      <c r="K47" s="740"/>
      <c r="L47" s="740"/>
      <c r="M47" s="750"/>
      <c r="N47" s="750"/>
      <c r="O47" s="740"/>
      <c r="P47" s="750"/>
      <c r="Q47" s="750"/>
      <c r="R47" s="744"/>
    </row>
    <row r="48" spans="1:18" ht="15" thickBot="1">
      <c r="A48" s="873" t="s">
        <v>652</v>
      </c>
      <c r="B48" s="892"/>
      <c r="C48" s="702">
        <f ca="1">+landbouw!B12</f>
        <v>95.344407873820685</v>
      </c>
      <c r="D48" s="702">
        <f ca="1">+landbouw!C12</f>
        <v>0</v>
      </c>
      <c r="E48" s="702">
        <f>+landbouw!D12</f>
        <v>10.016300491999999</v>
      </c>
      <c r="F48" s="702">
        <f>+landbouw!E12</f>
        <v>1.1044106537642047</v>
      </c>
      <c r="G48" s="702">
        <f>+landbouw!F12</f>
        <v>637.11210772059985</v>
      </c>
      <c r="H48" s="702">
        <f>+landbouw!G12</f>
        <v>0</v>
      </c>
      <c r="I48" s="702">
        <f>+landbouw!H12</f>
        <v>0</v>
      </c>
      <c r="J48" s="702">
        <f>+landbouw!I12</f>
        <v>0</v>
      </c>
      <c r="K48" s="702">
        <f>+landbouw!J12</f>
        <v>14.688059660196405</v>
      </c>
      <c r="L48" s="702">
        <f>+landbouw!K12</f>
        <v>0</v>
      </c>
      <c r="M48" s="702">
        <f>+landbouw!L12</f>
        <v>0</v>
      </c>
      <c r="N48" s="702">
        <f>+landbouw!M12</f>
        <v>0</v>
      </c>
      <c r="O48" s="702">
        <f>+landbouw!N12</f>
        <v>0</v>
      </c>
      <c r="P48" s="702">
        <f>+landbouw!O12</f>
        <v>0</v>
      </c>
      <c r="Q48" s="703">
        <f>+landbouw!P12</f>
        <v>0</v>
      </c>
      <c r="R48" s="745">
        <f ca="1">SUM(C48:Q48)</f>
        <v>758.26528640038111</v>
      </c>
    </row>
    <row r="49" spans="1:18" ht="15.75">
      <c r="A49" s="851" t="s">
        <v>653</v>
      </c>
      <c r="B49" s="851"/>
      <c r="C49" s="753"/>
      <c r="D49" s="740"/>
      <c r="E49" s="740"/>
      <c r="F49" s="740"/>
      <c r="G49" s="740"/>
      <c r="H49" s="740"/>
      <c r="I49" s="740"/>
      <c r="J49" s="740"/>
      <c r="K49" s="740"/>
      <c r="L49" s="740"/>
      <c r="M49" s="750"/>
      <c r="N49" s="750"/>
      <c r="O49" s="740"/>
      <c r="P49" s="750"/>
      <c r="Q49" s="750"/>
      <c r="R49" s="744"/>
    </row>
    <row r="50" spans="1:18" ht="15">
      <c r="A50" s="877" t="s">
        <v>239</v>
      </c>
      <c r="B50" s="893"/>
      <c r="C50" s="1084"/>
      <c r="D50" s="1085"/>
      <c r="E50" s="1085"/>
      <c r="F50" s="1085"/>
      <c r="G50" s="1085"/>
      <c r="H50" s="1085"/>
      <c r="I50" s="1085"/>
      <c r="J50" s="1085"/>
      <c r="K50" s="1085"/>
      <c r="L50" s="1085"/>
      <c r="M50" s="1085"/>
      <c r="N50" s="1085"/>
      <c r="O50" s="1085"/>
      <c r="P50" s="1085"/>
      <c r="Q50" s="1085"/>
      <c r="R50" s="754"/>
    </row>
    <row r="51" spans="1:18" ht="15">
      <c r="A51" s="878" t="s">
        <v>240</v>
      </c>
      <c r="B51" s="863"/>
      <c r="C51" s="1086"/>
      <c r="D51" s="1087"/>
      <c r="E51" s="1087"/>
      <c r="F51" s="1087"/>
      <c r="G51" s="1087"/>
      <c r="H51" s="1087"/>
      <c r="I51" s="1087"/>
      <c r="J51" s="1087"/>
      <c r="K51" s="1087"/>
      <c r="L51" s="1087"/>
      <c r="M51" s="1087"/>
      <c r="N51" s="1087"/>
      <c r="O51" s="1087"/>
      <c r="P51" s="1087"/>
      <c r="Q51" s="1087"/>
      <c r="R51" s="755"/>
    </row>
    <row r="52" spans="1:18" ht="15" thickBot="1">
      <c r="A52" s="890" t="s">
        <v>241</v>
      </c>
      <c r="B52" s="891"/>
      <c r="C52" s="1086"/>
      <c r="D52" s="1087"/>
      <c r="E52" s="1087"/>
      <c r="F52" s="1087"/>
      <c r="G52" s="1087"/>
      <c r="H52" s="1087"/>
      <c r="I52" s="1087"/>
      <c r="J52" s="1087"/>
      <c r="K52" s="1087"/>
      <c r="L52" s="1087"/>
      <c r="M52" s="1087"/>
      <c r="N52" s="1087"/>
      <c r="O52" s="1087"/>
      <c r="P52" s="1087"/>
      <c r="Q52" s="1087"/>
      <c r="R52" s="746"/>
    </row>
    <row r="53" spans="1:18" ht="16.5" thickBot="1">
      <c r="A53" s="894" t="s">
        <v>116</v>
      </c>
      <c r="B53" s="895"/>
      <c r="C53" s="756">
        <f ca="1">C41+C46+C48</f>
        <v>6995.9484002018544</v>
      </c>
      <c r="D53" s="757">
        <f t="shared" ref="D53:Q53" ca="1" si="6">D41+D46+D48</f>
        <v>0</v>
      </c>
      <c r="E53" s="757">
        <f t="shared" ca="1" si="6"/>
        <v>7702.381302117984</v>
      </c>
      <c r="F53" s="757">
        <f t="shared" si="6"/>
        <v>1069.457280125036</v>
      </c>
      <c r="G53" s="757">
        <f t="shared" ca="1" si="6"/>
        <v>11961.878830518788</v>
      </c>
      <c r="H53" s="757">
        <f t="shared" si="6"/>
        <v>24615.599106994752</v>
      </c>
      <c r="I53" s="757">
        <f t="shared" si="6"/>
        <v>3947.0041601470775</v>
      </c>
      <c r="J53" s="757">
        <f t="shared" si="6"/>
        <v>0</v>
      </c>
      <c r="K53" s="757">
        <f t="shared" si="6"/>
        <v>22.109632996755959</v>
      </c>
      <c r="L53" s="757">
        <f t="shared" si="6"/>
        <v>0</v>
      </c>
      <c r="M53" s="757">
        <f t="shared" ca="1" si="6"/>
        <v>0</v>
      </c>
      <c r="N53" s="757">
        <f t="shared" si="6"/>
        <v>0</v>
      </c>
      <c r="O53" s="757">
        <f t="shared" ca="1" si="6"/>
        <v>0</v>
      </c>
      <c r="P53" s="757">
        <f>P41+P46+P48</f>
        <v>0</v>
      </c>
      <c r="Q53" s="758">
        <f t="shared" si="6"/>
        <v>0</v>
      </c>
      <c r="R53" s="759">
        <f ca="1">R41+R46+R48</f>
        <v>56314.378713102247</v>
      </c>
    </row>
    <row r="54" spans="1:18" ht="15.75" thickTop="1" thickBot="1">
      <c r="A54" s="844"/>
      <c r="B54" s="844"/>
      <c r="C54" s="761"/>
      <c r="D54" s="761"/>
      <c r="E54" s="762"/>
      <c r="F54" s="762"/>
      <c r="G54" s="762"/>
      <c r="H54" s="762"/>
      <c r="I54" s="762"/>
      <c r="J54" s="762"/>
      <c r="K54" s="762"/>
      <c r="L54" s="762"/>
      <c r="M54" s="762"/>
      <c r="N54" s="762"/>
      <c r="O54" s="762"/>
      <c r="P54" s="762"/>
      <c r="Q54" s="762"/>
      <c r="R54" s="762"/>
    </row>
    <row r="55" spans="1:18" ht="20.25" thickTop="1" thickBot="1">
      <c r="A55" s="763" t="s">
        <v>349</v>
      </c>
      <c r="B55" s="872"/>
      <c r="C55" s="823">
        <f t="shared" ref="C55:Q55" ca="1" si="7">IF(ISERROR(C53/C23),0,C53/C23)</f>
        <v>0.20522445332795367</v>
      </c>
      <c r="D55" s="823">
        <f t="shared" ca="1" si="7"/>
        <v>0</v>
      </c>
      <c r="E55" s="823">
        <f t="shared" ca="1" si="7"/>
        <v>0.20200000000000004</v>
      </c>
      <c r="F55" s="823">
        <f t="shared" si="7"/>
        <v>0.22700000000000009</v>
      </c>
      <c r="G55" s="823">
        <f t="shared" ca="1" si="7"/>
        <v>0.26700000000000002</v>
      </c>
      <c r="H55" s="823">
        <f t="shared" si="7"/>
        <v>0.26700000000000002</v>
      </c>
      <c r="I55" s="823">
        <f t="shared" si="7"/>
        <v>0.249</v>
      </c>
      <c r="J55" s="823">
        <f t="shared" si="7"/>
        <v>0</v>
      </c>
      <c r="K55" s="823">
        <f t="shared" si="7"/>
        <v>0.35399999999999993</v>
      </c>
      <c r="L55" s="823">
        <f t="shared" si="7"/>
        <v>0</v>
      </c>
      <c r="M55" s="823">
        <f t="shared" ca="1" si="7"/>
        <v>0</v>
      </c>
      <c r="N55" s="823">
        <f t="shared" si="7"/>
        <v>0</v>
      </c>
      <c r="O55" s="823">
        <f t="shared" ca="1" si="7"/>
        <v>0</v>
      </c>
      <c r="P55" s="823">
        <f t="shared" si="7"/>
        <v>0</v>
      </c>
      <c r="Q55" s="823">
        <f t="shared" si="7"/>
        <v>0</v>
      </c>
      <c r="R55" s="762"/>
    </row>
    <row r="56" spans="1:18" ht="33" thickTop="1" thickBot="1">
      <c r="A56" s="879" t="s">
        <v>350</v>
      </c>
      <c r="B56" s="855"/>
      <c r="C56" s="824">
        <f>'EF ele_warmte'!B6</f>
        <v>0.221</v>
      </c>
      <c r="D56" s="825"/>
      <c r="E56" s="826"/>
      <c r="F56" s="827"/>
      <c r="G56" s="827"/>
      <c r="H56" s="827"/>
      <c r="I56" s="827"/>
      <c r="J56" s="827"/>
      <c r="K56" s="827"/>
      <c r="L56" s="827"/>
      <c r="M56" s="827"/>
      <c r="N56" s="827"/>
      <c r="O56" s="827"/>
      <c r="P56" s="827"/>
      <c r="Q56" s="827"/>
      <c r="R56" s="762"/>
    </row>
    <row r="57" spans="1:18" ht="15" thickTop="1">
      <c r="A57" s="764"/>
      <c r="B57" s="764"/>
      <c r="C57" s="762"/>
      <c r="D57" s="762"/>
      <c r="E57" s="762"/>
      <c r="F57" s="762"/>
      <c r="G57" s="762"/>
      <c r="H57" s="762"/>
      <c r="I57" s="762"/>
      <c r="J57" s="762"/>
      <c r="K57" s="762"/>
      <c r="L57" s="762"/>
      <c r="M57" s="762"/>
      <c r="N57" s="762"/>
      <c r="O57" s="762"/>
      <c r="P57" s="762"/>
      <c r="Q57" s="762"/>
      <c r="R57" s="762"/>
    </row>
    <row r="58" spans="1:18" ht="18.75">
      <c r="A58" s="765" t="s">
        <v>351</v>
      </c>
      <c r="B58" s="765"/>
      <c r="C58" s="732"/>
      <c r="D58" s="766"/>
      <c r="E58" s="732"/>
      <c r="F58" s="732"/>
      <c r="G58" s="732"/>
      <c r="H58" s="732"/>
      <c r="I58" s="732"/>
      <c r="J58" s="732"/>
      <c r="K58" s="732"/>
      <c r="L58" s="732"/>
      <c r="M58" s="732"/>
      <c r="N58" s="732"/>
      <c r="O58" s="732"/>
      <c r="P58" s="767"/>
      <c r="Q58" s="767"/>
      <c r="R58" s="767"/>
    </row>
    <row r="59" spans="1:18">
      <c r="A59" s="1060"/>
      <c r="B59" s="1060"/>
      <c r="C59" s="1060"/>
      <c r="D59" s="1060"/>
      <c r="E59" s="1060"/>
      <c r="F59" s="1060"/>
      <c r="G59" s="1060"/>
      <c r="H59" s="1060"/>
      <c r="I59" s="1060"/>
      <c r="J59" s="1060"/>
      <c r="K59" s="1060"/>
      <c r="L59" s="1060"/>
      <c r="M59" s="1060"/>
      <c r="N59" s="1060"/>
      <c r="O59" s="1060"/>
      <c r="P59" s="1060"/>
      <c r="Q59" s="1060"/>
      <c r="R59" s="768"/>
    </row>
    <row r="60" spans="1:18" ht="16.5" customHeight="1" thickBot="1">
      <c r="A60" s="735"/>
      <c r="B60" s="735"/>
      <c r="C60" s="736"/>
      <c r="D60" s="736"/>
      <c r="E60" s="736"/>
      <c r="F60" s="736"/>
      <c r="G60" s="736"/>
      <c r="H60" s="736"/>
      <c r="I60" s="736"/>
      <c r="J60" s="736"/>
      <c r="K60" s="736"/>
      <c r="L60" s="736"/>
      <c r="M60" s="736"/>
      <c r="N60" s="736"/>
      <c r="O60" s="736"/>
      <c r="P60" s="736"/>
      <c r="Q60" s="736"/>
      <c r="R60" s="736"/>
    </row>
    <row r="61" spans="1:18" ht="48.75" customHeight="1" thickTop="1" thickBot="1">
      <c r="A61" s="1073" t="s">
        <v>242</v>
      </c>
      <c r="B61" s="1098" t="s">
        <v>352</v>
      </c>
      <c r="C61" s="1089"/>
      <c r="D61" s="1095" t="s">
        <v>353</v>
      </c>
      <c r="E61" s="1096"/>
      <c r="F61" s="1096"/>
      <c r="G61" s="1096"/>
      <c r="H61" s="1096"/>
      <c r="I61" s="1096"/>
      <c r="J61" s="1096"/>
      <c r="K61" s="1096"/>
      <c r="L61" s="1096"/>
      <c r="M61" s="1097"/>
      <c r="N61" s="1089" t="s">
        <v>663</v>
      </c>
      <c r="O61" s="1100" t="s">
        <v>662</v>
      </c>
      <c r="P61" s="1101"/>
      <c r="Q61" s="769"/>
      <c r="R61" s="726"/>
    </row>
    <row r="62" spans="1:18" ht="31.5" thickTop="1" thickBot="1">
      <c r="A62" s="1088"/>
      <c r="B62" s="1099"/>
      <c r="C62" s="1091"/>
      <c r="D62" s="1092" t="s">
        <v>198</v>
      </c>
      <c r="E62" s="1093"/>
      <c r="F62" s="1093"/>
      <c r="G62" s="1093"/>
      <c r="H62" s="1094"/>
      <c r="I62" s="770" t="s">
        <v>246</v>
      </c>
      <c r="J62" s="771" t="s">
        <v>247</v>
      </c>
      <c r="K62" s="771" t="s">
        <v>235</v>
      </c>
      <c r="L62" s="771" t="s">
        <v>248</v>
      </c>
      <c r="M62" s="1105" t="s">
        <v>127</v>
      </c>
      <c r="N62" s="1090"/>
      <c r="O62" s="914"/>
      <c r="P62" s="915"/>
      <c r="Q62" s="769"/>
      <c r="R62" s="726"/>
    </row>
    <row r="63" spans="1:18" ht="95.25" customHeight="1" thickTop="1" thickBot="1">
      <c r="A63" s="1074"/>
      <c r="B63" s="842" t="s">
        <v>568</v>
      </c>
      <c r="C63" s="842" t="s">
        <v>661</v>
      </c>
      <c r="D63" s="772" t="s">
        <v>200</v>
      </c>
      <c r="E63" s="773" t="s">
        <v>201</v>
      </c>
      <c r="F63" s="774" t="s">
        <v>202</v>
      </c>
      <c r="G63" s="775" t="s">
        <v>204</v>
      </c>
      <c r="H63" s="776" t="s">
        <v>205</v>
      </c>
      <c r="I63" s="777"/>
      <c r="J63" s="773"/>
      <c r="K63" s="773"/>
      <c r="L63" s="773"/>
      <c r="M63" s="1106"/>
      <c r="N63" s="1091"/>
      <c r="O63" s="845" t="s">
        <v>664</v>
      </c>
      <c r="P63" s="843" t="s">
        <v>665</v>
      </c>
      <c r="Q63" s="769"/>
      <c r="R63" s="726"/>
    </row>
    <row r="64" spans="1:18" ht="15.75" thickTop="1">
      <c r="A64" s="778" t="s">
        <v>250</v>
      </c>
      <c r="B64" s="896">
        <f>'lokale energieproductie'!B4</f>
        <v>0</v>
      </c>
      <c r="C64" s="779">
        <f>'lokale energieproductie'!B4</f>
        <v>0</v>
      </c>
      <c r="D64" s="1107"/>
      <c r="E64" s="1075"/>
      <c r="F64" s="1075"/>
      <c r="G64" s="1078"/>
      <c r="H64" s="1081"/>
      <c r="I64" s="780"/>
      <c r="J64" s="780"/>
      <c r="K64" s="780"/>
      <c r="L64" s="780"/>
      <c r="M64" s="1102"/>
      <c r="N64" s="909">
        <v>0</v>
      </c>
      <c r="O64" s="916"/>
      <c r="P64" s="909">
        <v>0</v>
      </c>
      <c r="Q64" s="769"/>
      <c r="R64" s="767"/>
    </row>
    <row r="65" spans="1:18" ht="15">
      <c r="A65" s="781" t="s">
        <v>251</v>
      </c>
      <c r="B65" s="778">
        <f>'lokale energieproductie'!B5</f>
        <v>0</v>
      </c>
      <c r="C65" s="779">
        <f>'lokale energieproductie'!B5</f>
        <v>0</v>
      </c>
      <c r="D65" s="1108"/>
      <c r="E65" s="1076"/>
      <c r="F65" s="1076"/>
      <c r="G65" s="1079"/>
      <c r="H65" s="1082"/>
      <c r="I65" s="782"/>
      <c r="J65" s="782"/>
      <c r="K65" s="782"/>
      <c r="L65" s="782"/>
      <c r="M65" s="1103"/>
      <c r="N65" s="910">
        <v>0</v>
      </c>
      <c r="O65" s="916"/>
      <c r="P65" s="910">
        <v>0</v>
      </c>
      <c r="Q65" s="769"/>
      <c r="R65" s="732"/>
    </row>
    <row r="66" spans="1:18" ht="15">
      <c r="A66" s="781" t="s">
        <v>252</v>
      </c>
      <c r="B66" s="778">
        <f>'lokale energieproductie'!B6</f>
        <v>2433.3783192390974</v>
      </c>
      <c r="C66" s="779">
        <f>'lokale energieproductie'!B6</f>
        <v>2433.3783192390974</v>
      </c>
      <c r="D66" s="1109"/>
      <c r="E66" s="1077"/>
      <c r="F66" s="1077"/>
      <c r="G66" s="1080"/>
      <c r="H66" s="1083"/>
      <c r="I66" s="783"/>
      <c r="J66" s="783"/>
      <c r="K66" s="783"/>
      <c r="L66" s="783"/>
      <c r="M66" s="1104"/>
      <c r="N66" s="910">
        <v>0</v>
      </c>
      <c r="O66" s="916"/>
      <c r="P66" s="910">
        <v>0</v>
      </c>
      <c r="Q66" s="769"/>
      <c r="R66" s="767"/>
    </row>
    <row r="67" spans="1:18" ht="15">
      <c r="A67" s="784" t="s">
        <v>253</v>
      </c>
      <c r="B67" s="778">
        <f>'lokale energieproductie'!B7</f>
        <v>0</v>
      </c>
      <c r="C67" s="778">
        <f>B67*IFERROR(SUM(J67:L67)/SUM(D67:M67),0)</f>
        <v>0</v>
      </c>
      <c r="D67" s="810">
        <f>'lokale energieproductie'!C7</f>
        <v>0</v>
      </c>
      <c r="E67" s="811">
        <f>'lokale energieproductie'!D7</f>
        <v>0</v>
      </c>
      <c r="F67" s="811">
        <f>'lokale energieproductie'!E7</f>
        <v>0</v>
      </c>
      <c r="G67" s="811">
        <f>'lokale energieproductie'!F7</f>
        <v>0</v>
      </c>
      <c r="H67" s="811">
        <f>'lokale energieproductie'!G7</f>
        <v>0</v>
      </c>
      <c r="I67" s="811">
        <f>'lokale energieproductie'!H7</f>
        <v>0</v>
      </c>
      <c r="J67" s="811">
        <f>'lokale energieproductie'!I7</f>
        <v>0</v>
      </c>
      <c r="K67" s="811">
        <f>'lokale energieproductie'!J7</f>
        <v>0</v>
      </c>
      <c r="L67" s="811">
        <f>'lokale energieproductie'!K7</f>
        <v>0</v>
      </c>
      <c r="M67" s="812">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69"/>
      <c r="R67" s="726"/>
    </row>
    <row r="68" spans="1:18" ht="30.75" thickBot="1">
      <c r="A68" s="785" t="s">
        <v>354</v>
      </c>
      <c r="B68" s="778">
        <f>'lokale energieproductie'!B8</f>
        <v>0</v>
      </c>
      <c r="C68" s="778">
        <f>B68*IFERROR(SUM(J68:L68)/SUM(D68:M68),0)</f>
        <v>0</v>
      </c>
      <c r="D68" s="813">
        <f>'lokale energieproductie'!C8</f>
        <v>0</v>
      </c>
      <c r="E68" s="814">
        <f>'lokale energieproductie'!D8</f>
        <v>0</v>
      </c>
      <c r="F68" s="814">
        <f>'lokale energieproductie'!E8</f>
        <v>0</v>
      </c>
      <c r="G68" s="814">
        <f>'lokale energieproductie'!F8</f>
        <v>0</v>
      </c>
      <c r="H68" s="814">
        <f>'lokale energieproductie'!G8</f>
        <v>0</v>
      </c>
      <c r="I68" s="814">
        <f>'lokale energieproductie'!H8</f>
        <v>0</v>
      </c>
      <c r="J68" s="814">
        <f>'lokale energieproductie'!I8</f>
        <v>0</v>
      </c>
      <c r="K68" s="814">
        <f>'lokale energieproductie'!J8</f>
        <v>0</v>
      </c>
      <c r="L68" s="814">
        <f>'lokale energieproductie'!K8</f>
        <v>0</v>
      </c>
      <c r="M68" s="815">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69"/>
      <c r="R68" s="726"/>
    </row>
    <row r="69" spans="1:18" ht="16.5" thickTop="1" thickBot="1">
      <c r="A69" s="786" t="s">
        <v>116</v>
      </c>
      <c r="B69" s="787">
        <f>SUM(B64:B68)</f>
        <v>2433.3783192390974</v>
      </c>
      <c r="C69" s="787">
        <f>SUM(C64:C68)</f>
        <v>2433.3783192390974</v>
      </c>
      <c r="D69" s="788">
        <f t="shared" ref="D69:M69" si="8">SUM(D67:D68)</f>
        <v>0</v>
      </c>
      <c r="E69" s="788">
        <f t="shared" si="8"/>
        <v>0</v>
      </c>
      <c r="F69" s="788">
        <f t="shared" si="8"/>
        <v>0</v>
      </c>
      <c r="G69" s="788">
        <f t="shared" si="8"/>
        <v>0</v>
      </c>
      <c r="H69" s="788">
        <f t="shared" si="8"/>
        <v>0</v>
      </c>
      <c r="I69" s="788">
        <f t="shared" si="8"/>
        <v>0</v>
      </c>
      <c r="J69" s="788">
        <f t="shared" si="8"/>
        <v>0</v>
      </c>
      <c r="K69" s="788">
        <f t="shared" si="8"/>
        <v>0</v>
      </c>
      <c r="L69" s="788">
        <f t="shared" si="8"/>
        <v>0</v>
      </c>
      <c r="M69" s="918">
        <f t="shared" si="8"/>
        <v>0</v>
      </c>
      <c r="N69" s="789">
        <v>0</v>
      </c>
      <c r="O69" s="789">
        <f>SUM(O67:O68)</f>
        <v>0</v>
      </c>
      <c r="P69" s="789">
        <f>SUM(P64:P68)</f>
        <v>0</v>
      </c>
      <c r="Q69" s="769"/>
      <c r="R69" s="726"/>
    </row>
    <row r="70" spans="1:18" ht="15.75" thickTop="1">
      <c r="A70" s="790"/>
      <c r="B70" s="856"/>
      <c r="C70" s="791"/>
      <c r="D70" s="791"/>
      <c r="E70" s="733"/>
      <c r="F70" s="732"/>
      <c r="G70" s="732"/>
      <c r="H70" s="732"/>
      <c r="I70" s="792"/>
      <c r="J70" s="732"/>
      <c r="K70" s="732"/>
      <c r="L70" s="732"/>
      <c r="M70" s="732"/>
      <c r="N70" s="793"/>
      <c r="O70" s="732"/>
      <c r="P70" s="732"/>
      <c r="Q70" s="732"/>
      <c r="R70" s="732"/>
    </row>
    <row r="71" spans="1:18" ht="15">
      <c r="A71" s="760"/>
      <c r="B71" s="844"/>
      <c r="C71" s="791"/>
      <c r="D71" s="791"/>
      <c r="E71" s="732"/>
      <c r="F71" s="732"/>
      <c r="G71" s="732"/>
      <c r="H71" s="732"/>
      <c r="I71" s="732"/>
      <c r="J71" s="732"/>
      <c r="K71" s="732"/>
      <c r="L71" s="732"/>
      <c r="M71" s="732"/>
      <c r="N71" s="732"/>
      <c r="O71" s="732"/>
      <c r="P71" s="732"/>
      <c r="Q71" s="732"/>
      <c r="R71" s="732"/>
    </row>
    <row r="72" spans="1:18" ht="18.75">
      <c r="A72" s="794" t="s">
        <v>355</v>
      </c>
      <c r="B72" s="794"/>
      <c r="C72" s="795"/>
      <c r="D72" s="766"/>
      <c r="E72" s="732"/>
      <c r="F72" s="732"/>
      <c r="G72" s="732"/>
      <c r="H72" s="732"/>
      <c r="I72" s="732"/>
      <c r="J72" s="732"/>
      <c r="K72" s="732"/>
      <c r="L72" s="732"/>
      <c r="M72" s="732"/>
      <c r="N72" s="732"/>
      <c r="O72" s="732"/>
      <c r="P72" s="732"/>
      <c r="Q72" s="732"/>
      <c r="R72" s="732"/>
    </row>
    <row r="73" spans="1:18">
      <c r="A73" s="1060"/>
      <c r="B73" s="1060"/>
      <c r="C73" s="1060"/>
      <c r="D73" s="1060"/>
      <c r="E73" s="1060"/>
      <c r="F73" s="1060"/>
      <c r="G73" s="1060"/>
      <c r="H73" s="1060"/>
      <c r="I73" s="1060"/>
      <c r="J73" s="1060"/>
      <c r="K73" s="1060"/>
      <c r="L73" s="1060"/>
      <c r="M73" s="1060"/>
      <c r="N73" s="1060"/>
      <c r="O73" s="1060"/>
      <c r="P73" s="1060"/>
      <c r="Q73" s="768"/>
      <c r="R73" s="768"/>
    </row>
    <row r="74" spans="1:18" ht="15.75" thickBot="1">
      <c r="A74" s="735"/>
      <c r="B74" s="735"/>
      <c r="C74" s="736"/>
      <c r="D74" s="736"/>
      <c r="E74" s="736"/>
      <c r="F74" s="736"/>
      <c r="G74" s="736"/>
      <c r="H74" s="736"/>
      <c r="I74" s="736"/>
      <c r="J74" s="736"/>
      <c r="K74" s="736"/>
      <c r="L74" s="736"/>
      <c r="M74" s="736"/>
      <c r="N74" s="736"/>
      <c r="O74" s="736"/>
      <c r="P74" s="736"/>
      <c r="Q74" s="736"/>
      <c r="R74" s="736"/>
    </row>
    <row r="75" spans="1:18" ht="48.2" customHeight="1" thickTop="1" thickBot="1">
      <c r="A75" s="1073" t="s">
        <v>254</v>
      </c>
      <c r="B75" s="1098" t="s">
        <v>356</v>
      </c>
      <c r="C75" s="1089"/>
      <c r="D75" s="1095" t="s">
        <v>357</v>
      </c>
      <c r="E75" s="1096"/>
      <c r="F75" s="1096"/>
      <c r="G75" s="1096"/>
      <c r="H75" s="1096"/>
      <c r="I75" s="1096"/>
      <c r="J75" s="1096"/>
      <c r="K75" s="1096"/>
      <c r="L75" s="1096"/>
      <c r="M75" s="1097"/>
      <c r="N75" s="1089" t="s">
        <v>663</v>
      </c>
      <c r="O75" s="1098" t="s">
        <v>662</v>
      </c>
      <c r="P75" s="1089"/>
      <c r="Q75" s="796"/>
      <c r="R75" s="726"/>
    </row>
    <row r="76" spans="1:18" ht="16.5" thickTop="1" thickBot="1">
      <c r="A76" s="1088"/>
      <c r="B76" s="1115"/>
      <c r="C76" s="1090"/>
      <c r="D76" s="1110" t="s">
        <v>198</v>
      </c>
      <c r="E76" s="1111"/>
      <c r="F76" s="1111"/>
      <c r="G76" s="1111"/>
      <c r="H76" s="1112"/>
      <c r="I76" s="1113" t="s">
        <v>246</v>
      </c>
      <c r="J76" s="1113" t="s">
        <v>247</v>
      </c>
      <c r="K76" s="1068" t="s">
        <v>235</v>
      </c>
      <c r="L76" s="1117" t="s">
        <v>258</v>
      </c>
      <c r="M76" s="1105" t="s">
        <v>127</v>
      </c>
      <c r="N76" s="1090"/>
      <c r="O76" s="914"/>
      <c r="P76" s="915"/>
      <c r="Q76" s="796"/>
      <c r="R76" s="726"/>
    </row>
    <row r="77" spans="1:18" ht="110.25" customHeight="1" thickTop="1" thickBot="1">
      <c r="A77" s="1074"/>
      <c r="B77" s="897" t="s">
        <v>568</v>
      </c>
      <c r="C77" s="897" t="s">
        <v>661</v>
      </c>
      <c r="D77" s="797" t="s">
        <v>200</v>
      </c>
      <c r="E77" s="773" t="s">
        <v>201</v>
      </c>
      <c r="F77" s="798" t="s">
        <v>202</v>
      </c>
      <c r="G77" s="773" t="s">
        <v>204</v>
      </c>
      <c r="H77" s="799" t="s">
        <v>205</v>
      </c>
      <c r="I77" s="1114"/>
      <c r="J77" s="1114"/>
      <c r="K77" s="1116"/>
      <c r="L77" s="1069"/>
      <c r="M77" s="1118"/>
      <c r="N77" s="1091"/>
      <c r="O77" s="845" t="s">
        <v>664</v>
      </c>
      <c r="P77" s="843" t="s">
        <v>665</v>
      </c>
      <c r="Q77" s="796"/>
      <c r="R77" s="726"/>
    </row>
    <row r="78" spans="1:18" ht="15.75" thickTop="1">
      <c r="A78" s="800" t="s">
        <v>253</v>
      </c>
      <c r="B78" s="801">
        <f>'lokale energieproductie'!B16</f>
        <v>0</v>
      </c>
      <c r="C78" s="801">
        <f>B78*IFERROR(SUM(I78:L78)/SUM(D78:M78),0)</f>
        <v>0</v>
      </c>
      <c r="D78" s="816">
        <f>'lokale energieproductie'!C16</f>
        <v>0</v>
      </c>
      <c r="E78" s="816">
        <f>'lokale energieproductie'!D16</f>
        <v>0</v>
      </c>
      <c r="F78" s="816">
        <f>'lokale energieproductie'!E16</f>
        <v>0</v>
      </c>
      <c r="G78" s="816">
        <f>'lokale energieproductie'!F16</f>
        <v>0</v>
      </c>
      <c r="H78" s="816">
        <f>'lokale energieproductie'!G16</f>
        <v>0</v>
      </c>
      <c r="I78" s="816">
        <f>'lokale energieproductie'!H16</f>
        <v>0</v>
      </c>
      <c r="J78" s="816">
        <f>'lokale energieproductie'!I16</f>
        <v>0</v>
      </c>
      <c r="K78" s="816">
        <f>'lokale energieproductie'!J16</f>
        <v>0</v>
      </c>
      <c r="L78" s="816">
        <f>'lokale energieproductie'!K16</f>
        <v>0</v>
      </c>
      <c r="M78" s="816">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6"/>
      <c r="R78" s="726"/>
    </row>
    <row r="79" spans="1:18" ht="15">
      <c r="A79" s="802" t="s">
        <v>259</v>
      </c>
      <c r="B79" s="801">
        <f>'lokale energieproductie'!B17</f>
        <v>0</v>
      </c>
      <c r="C79" s="801">
        <f>B79*IFERROR(SUM(J79:L79)/SUM(D79:M79),0)</f>
        <v>0</v>
      </c>
      <c r="D79" s="816">
        <f>'lokale energieproductie'!C17</f>
        <v>0</v>
      </c>
      <c r="E79" s="816">
        <f>'lokale energieproductie'!D17</f>
        <v>0</v>
      </c>
      <c r="F79" s="816">
        <f>'lokale energieproductie'!E17</f>
        <v>0</v>
      </c>
      <c r="G79" s="816">
        <f>'lokale energieproductie'!F17</f>
        <v>0</v>
      </c>
      <c r="H79" s="816">
        <f>'lokale energieproductie'!G17</f>
        <v>0</v>
      </c>
      <c r="I79" s="816">
        <f>'lokale energieproductie'!H17</f>
        <v>0</v>
      </c>
      <c r="J79" s="816">
        <f>'lokale energieproductie'!I17</f>
        <v>0</v>
      </c>
      <c r="K79" s="816">
        <f>'lokale energieproductie'!J17</f>
        <v>0</v>
      </c>
      <c r="L79" s="816">
        <f>'lokale energieproductie'!K17</f>
        <v>0</v>
      </c>
      <c r="M79" s="816">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3"/>
      <c r="R79" s="726"/>
    </row>
    <row r="80" spans="1:18" ht="30.75" thickBot="1">
      <c r="A80" s="785" t="s">
        <v>354</v>
      </c>
      <c r="B80" s="801">
        <f>'lokale energieproductie'!B18</f>
        <v>0</v>
      </c>
      <c r="C80" s="801">
        <f>B80*IFERROR(SUM(J80:L80)/SUM(D80:M80),0)</f>
        <v>0</v>
      </c>
      <c r="D80" s="816">
        <f>'lokale energieproductie'!C18</f>
        <v>0</v>
      </c>
      <c r="E80" s="816">
        <f>'lokale energieproductie'!D18</f>
        <v>0</v>
      </c>
      <c r="F80" s="816">
        <f>'lokale energieproductie'!E18</f>
        <v>0</v>
      </c>
      <c r="G80" s="816">
        <f>'lokale energieproductie'!F18</f>
        <v>0</v>
      </c>
      <c r="H80" s="816">
        <f>'lokale energieproductie'!G18</f>
        <v>0</v>
      </c>
      <c r="I80" s="816">
        <f>'lokale energieproductie'!H18</f>
        <v>0</v>
      </c>
      <c r="J80" s="816">
        <f>'lokale energieproductie'!I18</f>
        <v>0</v>
      </c>
      <c r="K80" s="816">
        <f>'lokale energieproductie'!J18</f>
        <v>0</v>
      </c>
      <c r="L80" s="816">
        <f>'lokale energieproductie'!K18</f>
        <v>0</v>
      </c>
      <c r="M80" s="816">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3"/>
      <c r="R80" s="726"/>
    </row>
    <row r="81" spans="1:18" ht="16.5" thickTop="1" thickBot="1">
      <c r="A81" s="804" t="s">
        <v>116</v>
      </c>
      <c r="B81" s="787">
        <f>SUM(B78:B80)</f>
        <v>0</v>
      </c>
      <c r="C81" s="787">
        <f>SUM(C78:C80)</f>
        <v>0</v>
      </c>
      <c r="D81" s="787">
        <f t="shared" ref="D81:P81" si="9">SUM(D78:D80)</f>
        <v>0</v>
      </c>
      <c r="E81" s="787">
        <f t="shared" si="9"/>
        <v>0</v>
      </c>
      <c r="F81" s="787">
        <f t="shared" si="9"/>
        <v>0</v>
      </c>
      <c r="G81" s="787">
        <f t="shared" si="9"/>
        <v>0</v>
      </c>
      <c r="H81" s="787">
        <f t="shared" si="9"/>
        <v>0</v>
      </c>
      <c r="I81" s="787">
        <f t="shared" si="9"/>
        <v>0</v>
      </c>
      <c r="J81" s="787">
        <f t="shared" si="9"/>
        <v>0</v>
      </c>
      <c r="K81" s="787">
        <f t="shared" si="9"/>
        <v>0</v>
      </c>
      <c r="L81" s="787">
        <f t="shared" si="9"/>
        <v>0</v>
      </c>
      <c r="M81" s="787">
        <f t="shared" si="9"/>
        <v>0</v>
      </c>
      <c r="N81" s="787">
        <v>0</v>
      </c>
      <c r="O81" s="787">
        <f>SUM(O78:O80)</f>
        <v>0</v>
      </c>
      <c r="P81" s="918">
        <f t="shared" si="9"/>
        <v>0</v>
      </c>
      <c r="Q81" s="803"/>
      <c r="R81" s="726"/>
    </row>
    <row r="82" spans="1:18" ht="15.75" thickTop="1">
      <c r="A82" s="805"/>
      <c r="B82" s="805"/>
      <c r="C82" s="806"/>
      <c r="D82" s="807"/>
      <c r="E82" s="808"/>
      <c r="F82" s="792"/>
      <c r="G82" s="792"/>
      <c r="H82" s="792"/>
      <c r="I82" s="792"/>
      <c r="J82" s="792"/>
      <c r="K82" s="792"/>
      <c r="L82" s="792"/>
      <c r="M82" s="732"/>
      <c r="N82" s="792"/>
      <c r="O82" s="732"/>
      <c r="P82" s="767"/>
      <c r="Q82" s="732"/>
      <c r="R82" s="732"/>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50"/>
  <sheetViews>
    <sheetView topLeftCell="A34" workbookViewId="0">
      <selection activeCell="C50" sqref="C50"/>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820" t="s">
        <v>629</v>
      </c>
      <c r="B1" s="820" t="s">
        <v>630</v>
      </c>
      <c r="C1" s="820" t="s">
        <v>632</v>
      </c>
      <c r="D1" s="820" t="s">
        <v>631</v>
      </c>
    </row>
    <row r="2" spans="1:4">
      <c r="A2" t="s">
        <v>674</v>
      </c>
      <c r="B2" s="818">
        <v>41626</v>
      </c>
      <c r="C2" t="s">
        <v>675</v>
      </c>
      <c r="D2" s="819" t="s">
        <v>676</v>
      </c>
    </row>
    <row r="3" spans="1:4">
      <c r="A3" t="s">
        <v>677</v>
      </c>
      <c r="B3" s="818">
        <v>41646</v>
      </c>
      <c r="C3" t="s">
        <v>678</v>
      </c>
      <c r="D3" s="819" t="s">
        <v>679</v>
      </c>
    </row>
    <row r="4" spans="1:4">
      <c r="A4" t="s">
        <v>680</v>
      </c>
      <c r="B4" s="818">
        <v>41676</v>
      </c>
      <c r="C4" t="s">
        <v>681</v>
      </c>
      <c r="D4" s="819" t="s">
        <v>682</v>
      </c>
    </row>
    <row r="5" spans="1:4">
      <c r="A5" t="s">
        <v>680</v>
      </c>
      <c r="B5" s="818">
        <v>41676</v>
      </c>
      <c r="C5" t="s">
        <v>683</v>
      </c>
      <c r="D5" s="819" t="s">
        <v>684</v>
      </c>
    </row>
    <row r="6" spans="1:4" ht="17.25">
      <c r="A6" t="s">
        <v>680</v>
      </c>
      <c r="B6" s="818">
        <v>41676</v>
      </c>
      <c r="C6" t="s">
        <v>685</v>
      </c>
      <c r="D6" s="819" t="s">
        <v>686</v>
      </c>
    </row>
    <row r="7" spans="1:4">
      <c r="A7" t="s">
        <v>687</v>
      </c>
      <c r="B7" s="818">
        <v>41715</v>
      </c>
      <c r="C7" t="s">
        <v>688</v>
      </c>
      <c r="D7" s="833" t="s">
        <v>689</v>
      </c>
    </row>
    <row r="8" spans="1:4">
      <c r="A8" t="s">
        <v>687</v>
      </c>
      <c r="B8" s="818">
        <v>41715</v>
      </c>
      <c r="C8" t="s">
        <v>690</v>
      </c>
      <c r="D8" s="819" t="s">
        <v>691</v>
      </c>
    </row>
    <row r="9" spans="1:4">
      <c r="A9" t="s">
        <v>687</v>
      </c>
      <c r="B9" s="818">
        <v>41726</v>
      </c>
      <c r="C9" t="s">
        <v>692</v>
      </c>
      <c r="D9" s="833" t="s">
        <v>693</v>
      </c>
    </row>
    <row r="10" spans="1:4">
      <c r="A10" t="s">
        <v>694</v>
      </c>
      <c r="B10" s="818">
        <v>41759</v>
      </c>
      <c r="C10" t="s">
        <v>695</v>
      </c>
      <c r="D10" s="819" t="s">
        <v>696</v>
      </c>
    </row>
    <row r="11" spans="1:4">
      <c r="A11" t="s">
        <v>694</v>
      </c>
      <c r="B11" s="818">
        <v>41759</v>
      </c>
      <c r="C11" t="s">
        <v>697</v>
      </c>
      <c r="D11" s="819" t="s">
        <v>698</v>
      </c>
    </row>
    <row r="12" spans="1:4">
      <c r="A12" t="s">
        <v>699</v>
      </c>
      <c r="B12" s="818">
        <v>41772</v>
      </c>
      <c r="C12" t="s">
        <v>700</v>
      </c>
      <c r="D12" s="819" t="s">
        <v>701</v>
      </c>
    </row>
    <row r="13" spans="1:4">
      <c r="A13" t="s">
        <v>699</v>
      </c>
      <c r="B13" s="818">
        <v>41772</v>
      </c>
      <c r="C13" t="s">
        <v>702</v>
      </c>
      <c r="D13" s="819" t="s">
        <v>703</v>
      </c>
    </row>
    <row r="14" spans="1:4">
      <c r="A14" t="s">
        <v>699</v>
      </c>
      <c r="B14" s="818">
        <v>41772</v>
      </c>
      <c r="C14" t="s">
        <v>704</v>
      </c>
      <c r="D14" s="833" t="s">
        <v>705</v>
      </c>
    </row>
    <row r="15" spans="1:4">
      <c r="A15" t="s">
        <v>706</v>
      </c>
      <c r="B15" s="818">
        <v>41901</v>
      </c>
      <c r="C15" t="s">
        <v>648</v>
      </c>
      <c r="D15" s="833" t="s">
        <v>646</v>
      </c>
    </row>
    <row r="16" spans="1:4">
      <c r="A16" t="s">
        <v>706</v>
      </c>
      <c r="B16" s="818">
        <v>41901</v>
      </c>
      <c r="C16" t="s">
        <v>647</v>
      </c>
      <c r="D16" s="833" t="s">
        <v>649</v>
      </c>
    </row>
    <row r="17" spans="1:4">
      <c r="A17" t="s">
        <v>706</v>
      </c>
      <c r="B17" s="818">
        <v>41901</v>
      </c>
      <c r="C17" t="s">
        <v>654</v>
      </c>
      <c r="D17" s="819" t="s">
        <v>655</v>
      </c>
    </row>
    <row r="18" spans="1:4">
      <c r="A18" t="s">
        <v>706</v>
      </c>
      <c r="B18" s="818">
        <v>41901</v>
      </c>
      <c r="C18" t="s">
        <v>667</v>
      </c>
      <c r="D18" s="819" t="s">
        <v>666</v>
      </c>
    </row>
    <row r="19" spans="1:4">
      <c r="A19" t="s">
        <v>706</v>
      </c>
      <c r="B19" s="818">
        <v>41901</v>
      </c>
      <c r="C19" t="s">
        <v>667</v>
      </c>
      <c r="D19" s="819" t="s">
        <v>668</v>
      </c>
    </row>
    <row r="20" spans="1:4">
      <c r="A20" t="s">
        <v>706</v>
      </c>
      <c r="B20" s="818">
        <v>41901</v>
      </c>
      <c r="C20" t="s">
        <v>673</v>
      </c>
      <c r="D20" s="819" t="s">
        <v>672</v>
      </c>
    </row>
    <row r="21" spans="1:4">
      <c r="A21" t="s">
        <v>706</v>
      </c>
      <c r="B21" s="818">
        <v>41914</v>
      </c>
      <c r="C21" t="s">
        <v>732</v>
      </c>
      <c r="D21" s="833" t="s">
        <v>726</v>
      </c>
    </row>
    <row r="22" spans="1:4">
      <c r="A22" t="s">
        <v>706</v>
      </c>
      <c r="B22" s="818">
        <v>41914</v>
      </c>
      <c r="C22" t="s">
        <v>733</v>
      </c>
      <c r="D22" s="833" t="s">
        <v>727</v>
      </c>
    </row>
    <row r="23" spans="1:4">
      <c r="A23" t="s">
        <v>706</v>
      </c>
      <c r="B23" s="818">
        <v>41914</v>
      </c>
      <c r="C23" t="s">
        <v>734</v>
      </c>
      <c r="D23" s="833" t="s">
        <v>728</v>
      </c>
    </row>
    <row r="24" spans="1:4">
      <c r="A24" t="s">
        <v>706</v>
      </c>
      <c r="B24" s="818">
        <v>41914</v>
      </c>
      <c r="C24" t="s">
        <v>735</v>
      </c>
      <c r="D24" s="833" t="s">
        <v>729</v>
      </c>
    </row>
    <row r="25" spans="1:4">
      <c r="A25" t="s">
        <v>706</v>
      </c>
      <c r="B25" s="818">
        <v>41914</v>
      </c>
      <c r="C25" t="s">
        <v>747</v>
      </c>
      <c r="D25" s="833" t="s">
        <v>730</v>
      </c>
    </row>
    <row r="26" spans="1:4">
      <c r="A26" t="s">
        <v>706</v>
      </c>
      <c r="B26" s="818">
        <v>41914</v>
      </c>
      <c r="C26" t="s">
        <v>743</v>
      </c>
      <c r="D26" s="819" t="s">
        <v>746</v>
      </c>
    </row>
    <row r="27" spans="1:4">
      <c r="A27" t="s">
        <v>706</v>
      </c>
      <c r="B27" s="818">
        <v>41914</v>
      </c>
      <c r="C27" t="s">
        <v>737</v>
      </c>
      <c r="D27" s="833" t="s">
        <v>736</v>
      </c>
    </row>
    <row r="28" spans="1:4">
      <c r="A28" t="s">
        <v>706</v>
      </c>
      <c r="B28" s="818">
        <v>41914</v>
      </c>
      <c r="C28" t="s">
        <v>748</v>
      </c>
      <c r="D28" s="833" t="s">
        <v>738</v>
      </c>
    </row>
    <row r="29" spans="1:4">
      <c r="A29" t="s">
        <v>706</v>
      </c>
      <c r="B29" s="818">
        <v>41914</v>
      </c>
      <c r="C29" t="s">
        <v>741</v>
      </c>
      <c r="D29" s="833" t="s">
        <v>742</v>
      </c>
    </row>
    <row r="30" spans="1:4">
      <c r="A30" t="s">
        <v>706</v>
      </c>
      <c r="B30" s="818">
        <v>41914</v>
      </c>
      <c r="C30" t="s">
        <v>739</v>
      </c>
      <c r="D30" s="833" t="s">
        <v>740</v>
      </c>
    </row>
    <row r="31" spans="1:4">
      <c r="A31" t="s">
        <v>706</v>
      </c>
      <c r="B31" s="818">
        <v>41914</v>
      </c>
      <c r="C31" t="s">
        <v>744</v>
      </c>
      <c r="D31" s="819" t="s">
        <v>745</v>
      </c>
    </row>
    <row r="32" spans="1:4">
      <c r="A32" t="s">
        <v>706</v>
      </c>
      <c r="B32" s="818">
        <v>41925</v>
      </c>
      <c r="C32" t="s">
        <v>750</v>
      </c>
      <c r="D32" s="833" t="s">
        <v>751</v>
      </c>
    </row>
    <row r="33" spans="1:4">
      <c r="A33" t="s">
        <v>706</v>
      </c>
      <c r="B33" s="818">
        <v>41967</v>
      </c>
      <c r="C33" t="s">
        <v>753</v>
      </c>
      <c r="D33" s="819" t="s">
        <v>754</v>
      </c>
    </row>
    <row r="34" spans="1:4">
      <c r="A34" t="s">
        <v>755</v>
      </c>
      <c r="B34" s="818">
        <v>42275</v>
      </c>
      <c r="C34" t="s">
        <v>757</v>
      </c>
      <c r="D34" s="819" t="s">
        <v>762</v>
      </c>
    </row>
    <row r="35" spans="1:4">
      <c r="A35" t="s">
        <v>755</v>
      </c>
      <c r="B35" s="818">
        <v>42275</v>
      </c>
      <c r="C35" t="s">
        <v>758</v>
      </c>
      <c r="D35" s="819" t="s">
        <v>763</v>
      </c>
    </row>
    <row r="36" spans="1:4">
      <c r="A36" t="s">
        <v>755</v>
      </c>
      <c r="B36" s="818">
        <v>42283</v>
      </c>
      <c r="C36" t="s">
        <v>759</v>
      </c>
      <c r="D36" s="819" t="s">
        <v>760</v>
      </c>
    </row>
    <row r="37" spans="1:4">
      <c r="A37" t="s">
        <v>771</v>
      </c>
      <c r="B37" s="952">
        <v>42538</v>
      </c>
      <c r="C37" s="952" t="s">
        <v>764</v>
      </c>
      <c r="D37" s="952"/>
    </row>
    <row r="38" spans="1:4">
      <c r="A38" t="s">
        <v>771</v>
      </c>
      <c r="B38" s="952">
        <v>42538</v>
      </c>
      <c r="C38" s="952" t="s">
        <v>765</v>
      </c>
      <c r="D38" s="953" t="s">
        <v>766</v>
      </c>
    </row>
    <row r="39" spans="1:4">
      <c r="A39" t="s">
        <v>771</v>
      </c>
      <c r="B39" s="952">
        <v>42538</v>
      </c>
      <c r="C39" s="952" t="s">
        <v>767</v>
      </c>
      <c r="D39" s="954" t="s">
        <v>768</v>
      </c>
    </row>
    <row r="40" spans="1:4">
      <c r="A40" t="s">
        <v>771</v>
      </c>
      <c r="B40" s="952">
        <v>42538</v>
      </c>
      <c r="C40" s="952" t="s">
        <v>769</v>
      </c>
      <c r="D40" s="953" t="s">
        <v>770</v>
      </c>
    </row>
    <row r="41" spans="1:4">
      <c r="A41" t="s">
        <v>793</v>
      </c>
      <c r="B41" s="952">
        <v>42585</v>
      </c>
      <c r="C41" t="s">
        <v>756</v>
      </c>
      <c r="D41" s="819" t="s">
        <v>761</v>
      </c>
    </row>
    <row r="42" spans="1:4">
      <c r="A42" t="s">
        <v>798</v>
      </c>
      <c r="B42" s="952">
        <v>42877</v>
      </c>
      <c r="C42" s="952" t="s">
        <v>856</v>
      </c>
      <c r="D42" s="819" t="s">
        <v>745</v>
      </c>
    </row>
    <row r="43" spans="1:4">
      <c r="A43" t="s">
        <v>798</v>
      </c>
      <c r="B43" s="952">
        <v>42877</v>
      </c>
      <c r="C43" s="952" t="s">
        <v>857</v>
      </c>
      <c r="D43" s="833" t="s">
        <v>799</v>
      </c>
    </row>
    <row r="44" spans="1:4">
      <c r="A44" t="s">
        <v>798</v>
      </c>
      <c r="B44" s="952">
        <v>42877</v>
      </c>
      <c r="C44" s="952" t="s">
        <v>858</v>
      </c>
      <c r="D44" s="833" t="s">
        <v>800</v>
      </c>
    </row>
    <row r="45" spans="1:4">
      <c r="A45" t="s">
        <v>840</v>
      </c>
      <c r="B45" s="952">
        <v>43165</v>
      </c>
      <c r="C45" s="952" t="s">
        <v>841</v>
      </c>
      <c r="D45" s="833" t="s">
        <v>842</v>
      </c>
    </row>
    <row r="46" spans="1:4">
      <c r="A46" t="s">
        <v>840</v>
      </c>
      <c r="B46" s="952">
        <v>43165</v>
      </c>
      <c r="C46" s="952" t="s">
        <v>843</v>
      </c>
      <c r="D46" s="819" t="s">
        <v>844</v>
      </c>
    </row>
    <row r="47" spans="1:4">
      <c r="A47" t="s">
        <v>840</v>
      </c>
      <c r="B47" s="952">
        <v>43165</v>
      </c>
      <c r="C47" s="952" t="s">
        <v>845</v>
      </c>
      <c r="D47" s="819" t="s">
        <v>846</v>
      </c>
    </row>
    <row r="48" spans="1:4">
      <c r="A48" t="s">
        <v>840</v>
      </c>
      <c r="B48" s="952">
        <v>43165</v>
      </c>
      <c r="C48" s="952" t="s">
        <v>847</v>
      </c>
      <c r="D48" s="819" t="s">
        <v>848</v>
      </c>
    </row>
    <row r="49" spans="1:4">
      <c r="A49" t="s">
        <v>840</v>
      </c>
      <c r="B49" s="952">
        <v>43278</v>
      </c>
      <c r="C49" s="952" t="s">
        <v>883</v>
      </c>
      <c r="D49" s="833"/>
    </row>
    <row r="50" spans="1:4">
      <c r="A50" t="s">
        <v>918</v>
      </c>
      <c r="B50" s="952">
        <v>43424</v>
      </c>
      <c r="C50" s="952" t="s">
        <v>919</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topLeftCell="A7" workbookViewId="0">
      <selection activeCell="D28" sqref="D28"/>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19" t="s">
        <v>563</v>
      </c>
      <c r="B1" s="1120" t="s">
        <v>559</v>
      </c>
      <c r="C1" s="1120"/>
      <c r="D1" s="1120"/>
      <c r="E1" s="1120"/>
      <c r="F1" s="1120"/>
      <c r="G1" s="1120"/>
      <c r="H1" s="1120"/>
      <c r="I1" s="1120"/>
      <c r="J1" s="1120"/>
      <c r="K1" s="1120"/>
      <c r="L1" s="1120"/>
      <c r="M1" s="1120"/>
      <c r="N1" s="1120"/>
      <c r="O1" s="1120"/>
      <c r="P1" s="1121"/>
      <c r="Q1" s="458"/>
    </row>
    <row r="2" spans="1:17">
      <c r="A2" s="1119"/>
      <c r="B2" s="1122" t="s">
        <v>21</v>
      </c>
      <c r="C2" s="1124" t="s">
        <v>197</v>
      </c>
      <c r="D2" s="1126" t="s">
        <v>198</v>
      </c>
      <c r="E2" s="1127"/>
      <c r="F2" s="1127"/>
      <c r="G2" s="1127"/>
      <c r="H2" s="1127"/>
      <c r="I2" s="1127"/>
      <c r="J2" s="1127"/>
      <c r="K2" s="1123"/>
      <c r="L2" s="1126" t="s">
        <v>199</v>
      </c>
      <c r="M2" s="1127"/>
      <c r="N2" s="1127"/>
      <c r="O2" s="1127"/>
      <c r="P2" s="1123"/>
      <c r="Q2" s="458"/>
    </row>
    <row r="3" spans="1:17" ht="45">
      <c r="A3" s="1119"/>
      <c r="B3" s="1123"/>
      <c r="C3" s="1125"/>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c r="Q3" s="458" t="s">
        <v>116</v>
      </c>
    </row>
    <row r="4" spans="1:17">
      <c r="A4" s="460" t="s">
        <v>155</v>
      </c>
      <c r="B4" s="461">
        <f>huishoudens!B8</f>
        <v>23427.833369968743</v>
      </c>
      <c r="C4" s="461">
        <f>huishoudens!C8</f>
        <v>0</v>
      </c>
      <c r="D4" s="461">
        <f>huishoudens!D8</f>
        <v>31387.233151999997</v>
      </c>
      <c r="E4" s="461">
        <f>huishoudens!E8</f>
        <v>4042.4855449470265</v>
      </c>
      <c r="F4" s="461">
        <f>huishoudens!F8</f>
        <v>39666.543355162124</v>
      </c>
      <c r="G4" s="461">
        <f>huishoudens!G8</f>
        <v>0</v>
      </c>
      <c r="H4" s="461">
        <f>huishoudens!H8</f>
        <v>0</v>
      </c>
      <c r="I4" s="461">
        <f>huishoudens!I8</f>
        <v>0</v>
      </c>
      <c r="J4" s="461">
        <f>huishoudens!J8</f>
        <v>0</v>
      </c>
      <c r="K4" s="461">
        <f>huishoudens!K8</f>
        <v>0</v>
      </c>
      <c r="L4" s="461">
        <f>huishoudens!L8</f>
        <v>0</v>
      </c>
      <c r="M4" s="461">
        <f>huishoudens!M8</f>
        <v>0</v>
      </c>
      <c r="N4" s="461">
        <f>huishoudens!N8</f>
        <v>11037.35040836452</v>
      </c>
      <c r="O4" s="461">
        <f>huishoudens!O8</f>
        <v>82.856666666666683</v>
      </c>
      <c r="P4" s="462">
        <f>huishoudens!P8</f>
        <v>171.6</v>
      </c>
      <c r="Q4" s="463">
        <f>SUM(B4:P4)</f>
        <v>109815.9024971091</v>
      </c>
    </row>
    <row r="5" spans="1:17">
      <c r="A5" s="460" t="s">
        <v>156</v>
      </c>
      <c r="B5" s="461">
        <f ca="1">tertiair!B16</f>
        <v>6477.9769999999999</v>
      </c>
      <c r="C5" s="461">
        <f ca="1">tertiair!C16</f>
        <v>0</v>
      </c>
      <c r="D5" s="461">
        <f ca="1">tertiair!D16</f>
        <v>4987.9057580000008</v>
      </c>
      <c r="E5" s="461">
        <f>tertiair!E16</f>
        <v>140.12332185068576</v>
      </c>
      <c r="F5" s="461">
        <f ca="1">tertiair!F16</f>
        <v>1321.0843740830794</v>
      </c>
      <c r="G5" s="461">
        <f>tertiair!G16</f>
        <v>0</v>
      </c>
      <c r="H5" s="461">
        <f>tertiair!H16</f>
        <v>0</v>
      </c>
      <c r="I5" s="461">
        <f>tertiair!I16</f>
        <v>0</v>
      </c>
      <c r="J5" s="461">
        <f>tertiair!J16</f>
        <v>0</v>
      </c>
      <c r="K5" s="461">
        <f>tertiair!K16</f>
        <v>0</v>
      </c>
      <c r="L5" s="461">
        <f ca="1">tertiair!L16</f>
        <v>0</v>
      </c>
      <c r="M5" s="461">
        <f>tertiair!M16</f>
        <v>0</v>
      </c>
      <c r="N5" s="461">
        <f ca="1">tertiair!N16</f>
        <v>215.74008902256784</v>
      </c>
      <c r="O5" s="461">
        <f>tertiair!O16</f>
        <v>1.5633333333333335</v>
      </c>
      <c r="P5" s="462">
        <f>tertiair!P16</f>
        <v>0</v>
      </c>
      <c r="Q5" s="460">
        <f t="shared" ref="Q5:Q13" ca="1" si="0">SUM(B5:P5)</f>
        <v>13144.393876289665</v>
      </c>
    </row>
    <row r="6" spans="1:17">
      <c r="A6" s="460" t="s">
        <v>195</v>
      </c>
      <c r="B6" s="461">
        <f>'openbare verlichting'!B8</f>
        <v>795.35</v>
      </c>
      <c r="C6" s="461"/>
      <c r="D6" s="461"/>
      <c r="E6" s="461"/>
      <c r="F6" s="461"/>
      <c r="G6" s="461"/>
      <c r="H6" s="461"/>
      <c r="I6" s="461"/>
      <c r="J6" s="461"/>
      <c r="K6" s="461"/>
      <c r="L6" s="461"/>
      <c r="M6" s="461"/>
      <c r="N6" s="461"/>
      <c r="O6" s="461"/>
      <c r="P6" s="462"/>
      <c r="Q6" s="460">
        <f t="shared" si="0"/>
        <v>795.35</v>
      </c>
    </row>
    <row r="7" spans="1:17">
      <c r="A7" s="460" t="s">
        <v>112</v>
      </c>
      <c r="B7" s="461">
        <f>landbouw!B8</f>
        <v>464.58600000000001</v>
      </c>
      <c r="C7" s="461">
        <f>landbouw!C8</f>
        <v>0</v>
      </c>
      <c r="D7" s="461">
        <f>landbouw!D8</f>
        <v>49.585645999999997</v>
      </c>
      <c r="E7" s="461">
        <f>landbouw!E8</f>
        <v>4.8652451707674214</v>
      </c>
      <c r="F7" s="461">
        <f>landbouw!F8</f>
        <v>2386.1876693655422</v>
      </c>
      <c r="G7" s="461">
        <f>landbouw!G8</f>
        <v>0</v>
      </c>
      <c r="H7" s="461">
        <f>landbouw!H8</f>
        <v>0</v>
      </c>
      <c r="I7" s="461">
        <f>landbouw!I8</f>
        <v>0</v>
      </c>
      <c r="J7" s="461">
        <f>landbouw!J8</f>
        <v>41.491693955357078</v>
      </c>
      <c r="K7" s="461">
        <f>landbouw!K8</f>
        <v>0</v>
      </c>
      <c r="L7" s="461">
        <f>landbouw!L8</f>
        <v>0</v>
      </c>
      <c r="M7" s="461">
        <f>landbouw!M8</f>
        <v>0</v>
      </c>
      <c r="N7" s="461">
        <f>landbouw!N8</f>
        <v>0</v>
      </c>
      <c r="O7" s="461">
        <f>landbouw!O8</f>
        <v>0</v>
      </c>
      <c r="P7" s="462">
        <f>landbouw!P8</f>
        <v>0</v>
      </c>
      <c r="Q7" s="460">
        <f t="shared" si="0"/>
        <v>2946.7162544916669</v>
      </c>
    </row>
    <row r="8" spans="1:17">
      <c r="A8" s="460" t="s">
        <v>656</v>
      </c>
      <c r="B8" s="461">
        <f>industrie!B18</f>
        <v>2922.4690000000001</v>
      </c>
      <c r="C8" s="461">
        <f>industrie!C18</f>
        <v>0</v>
      </c>
      <c r="D8" s="461">
        <f>industrie!D18</f>
        <v>1701.1485480000001</v>
      </c>
      <c r="E8" s="461">
        <f>industrie!E18</f>
        <v>37.092573745283914</v>
      </c>
      <c r="F8" s="461">
        <f>industrie!F18</f>
        <v>1427.2289104483818</v>
      </c>
      <c r="G8" s="461">
        <f>industrie!G18</f>
        <v>0</v>
      </c>
      <c r="H8" s="461">
        <f>industrie!H18</f>
        <v>0</v>
      </c>
      <c r="I8" s="461">
        <f>industrie!I18</f>
        <v>0</v>
      </c>
      <c r="J8" s="461">
        <f>industrie!J18</f>
        <v>20.964896430959197</v>
      </c>
      <c r="K8" s="461">
        <f>industrie!K18</f>
        <v>0</v>
      </c>
      <c r="L8" s="461">
        <f>industrie!L18</f>
        <v>0</v>
      </c>
      <c r="M8" s="461">
        <f>industrie!M18</f>
        <v>0</v>
      </c>
      <c r="N8" s="461">
        <f>industrie!N18</f>
        <v>128.89409729144262</v>
      </c>
      <c r="O8" s="461">
        <f>industrie!O18</f>
        <v>0</v>
      </c>
      <c r="P8" s="462">
        <f>industrie!P18</f>
        <v>0</v>
      </c>
      <c r="Q8" s="460">
        <f t="shared" si="0"/>
        <v>6237.7980259160668</v>
      </c>
    </row>
    <row r="9" spans="1:17" s="466" customFormat="1">
      <c r="A9" s="464" t="s">
        <v>574</v>
      </c>
      <c r="B9" s="465">
        <f>transport!B14</f>
        <v>1.038063305891811</v>
      </c>
      <c r="C9" s="465"/>
      <c r="D9" s="465">
        <f>transport!D14</f>
        <v>4.7274015345727181</v>
      </c>
      <c r="E9" s="465">
        <f>transport!E14</f>
        <v>486.69886549784815</v>
      </c>
      <c r="F9" s="465"/>
      <c r="G9" s="465">
        <f>transport!G14</f>
        <v>89845.843604639696</v>
      </c>
      <c r="H9" s="465">
        <f>transport!H14</f>
        <v>15851.422329907942</v>
      </c>
      <c r="I9" s="465"/>
      <c r="J9" s="465"/>
      <c r="K9" s="465"/>
      <c r="L9" s="465"/>
      <c r="M9" s="465">
        <f>transport!M14</f>
        <v>4613.1174395219859</v>
      </c>
      <c r="N9" s="465"/>
      <c r="O9" s="465"/>
      <c r="P9" s="465"/>
      <c r="Q9" s="464">
        <f>SUM(B9:P9)</f>
        <v>110802.84770440793</v>
      </c>
    </row>
    <row r="10" spans="1:17">
      <c r="A10" s="460" t="s">
        <v>564</v>
      </c>
      <c r="B10" s="461">
        <f>transport!B54</f>
        <v>0</v>
      </c>
      <c r="C10" s="461"/>
      <c r="D10" s="461">
        <f>transport!D54</f>
        <v>0</v>
      </c>
      <c r="E10" s="461"/>
      <c r="F10" s="461"/>
      <c r="G10" s="461">
        <f>transport!G54</f>
        <v>2347.4114777376458</v>
      </c>
      <c r="H10" s="461"/>
      <c r="I10" s="461"/>
      <c r="J10" s="461"/>
      <c r="K10" s="461"/>
      <c r="L10" s="461"/>
      <c r="M10" s="461">
        <f>transport!M54</f>
        <v>100.05995302179817</v>
      </c>
      <c r="N10" s="461"/>
      <c r="O10" s="461"/>
      <c r="P10" s="462"/>
      <c r="Q10" s="460">
        <f t="shared" si="0"/>
        <v>2447.471430759444</v>
      </c>
    </row>
    <row r="11" spans="1:17">
      <c r="A11" s="460" t="s">
        <v>565</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566</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7" t="s">
        <v>567</v>
      </c>
      <c r="B13" s="468">
        <f>'Eigen vloot'!B27</f>
        <v>0</v>
      </c>
      <c r="C13" s="468"/>
      <c r="D13" s="468">
        <f>'Eigen vloot'!D27</f>
        <v>0</v>
      </c>
      <c r="E13" s="468">
        <f>'Eigen vloot'!E27</f>
        <v>0</v>
      </c>
      <c r="F13" s="468"/>
      <c r="G13" s="468">
        <f>'Eigen vloot'!G27</f>
        <v>0</v>
      </c>
      <c r="H13" s="468">
        <f>'Eigen vloot'!H27</f>
        <v>0</v>
      </c>
      <c r="I13" s="468"/>
      <c r="J13" s="468"/>
      <c r="K13" s="468"/>
      <c r="L13" s="468"/>
      <c r="M13" s="468">
        <f>'Eigen vloot'!M27</f>
        <v>0</v>
      </c>
      <c r="N13" s="468"/>
      <c r="O13" s="468"/>
      <c r="P13" s="469"/>
      <c r="Q13" s="467">
        <f t="shared" si="0"/>
        <v>0</v>
      </c>
    </row>
    <row r="14" spans="1:17" s="473" customFormat="1">
      <c r="A14" s="470" t="s">
        <v>568</v>
      </c>
      <c r="B14" s="471">
        <f ca="1">SUM(B4:B13)</f>
        <v>34089.253433274629</v>
      </c>
      <c r="C14" s="471">
        <f t="shared" ref="C14:Q14" ca="1" si="1">SUM(C4:C13)</f>
        <v>0</v>
      </c>
      <c r="D14" s="471">
        <f t="shared" ca="1" si="1"/>
        <v>38130.600505534567</v>
      </c>
      <c r="E14" s="471">
        <f t="shared" si="1"/>
        <v>4711.2655512116107</v>
      </c>
      <c r="F14" s="471">
        <f t="shared" ca="1" si="1"/>
        <v>44801.044309059129</v>
      </c>
      <c r="G14" s="471">
        <f t="shared" si="1"/>
        <v>92193.255082377349</v>
      </c>
      <c r="H14" s="471">
        <f t="shared" si="1"/>
        <v>15851.422329907942</v>
      </c>
      <c r="I14" s="471">
        <f t="shared" si="1"/>
        <v>0</v>
      </c>
      <c r="J14" s="471">
        <f t="shared" si="1"/>
        <v>62.456590386316279</v>
      </c>
      <c r="K14" s="471">
        <f t="shared" si="1"/>
        <v>0</v>
      </c>
      <c r="L14" s="471">
        <f t="shared" ca="1" si="1"/>
        <v>0</v>
      </c>
      <c r="M14" s="471">
        <f t="shared" si="1"/>
        <v>4713.1773925437838</v>
      </c>
      <c r="N14" s="471">
        <f t="shared" ca="1" si="1"/>
        <v>11381.98459467853</v>
      </c>
      <c r="O14" s="471">
        <f t="shared" si="1"/>
        <v>84.420000000000016</v>
      </c>
      <c r="P14" s="472">
        <f t="shared" si="1"/>
        <v>171.6</v>
      </c>
      <c r="Q14" s="472">
        <f t="shared" ca="1" si="1"/>
        <v>246190.47978897387</v>
      </c>
    </row>
    <row r="16" spans="1:17">
      <c r="A16" s="474" t="s">
        <v>569</v>
      </c>
      <c r="B16" s="828">
        <f ca="1">huishoudens!B10</f>
        <v>0.20522445332795367</v>
      </c>
      <c r="C16" s="828">
        <f ca="1">huishoudens!C10</f>
        <v>0</v>
      </c>
      <c r="D16" s="828">
        <f>huishoudens!D10</f>
        <v>0.20200000000000001</v>
      </c>
      <c r="E16" s="828">
        <f>huishoudens!E10</f>
        <v>0.22700000000000001</v>
      </c>
      <c r="F16" s="828">
        <f>huishoudens!F10</f>
        <v>0.26700000000000002</v>
      </c>
      <c r="G16" s="828">
        <f>huishoudens!G10</f>
        <v>0.26700000000000002</v>
      </c>
      <c r="H16" s="828">
        <f>huishoudens!H10</f>
        <v>0.249</v>
      </c>
      <c r="I16" s="828">
        <f>huishoudens!I10</f>
        <v>0.35099999999999998</v>
      </c>
      <c r="J16" s="828">
        <f>huishoudens!J10</f>
        <v>0.35399999999999998</v>
      </c>
      <c r="K16" s="828">
        <f>huishoudens!K10</f>
        <v>0.26400000000000001</v>
      </c>
      <c r="L16" s="828">
        <f>huishoudens!L10</f>
        <v>0</v>
      </c>
      <c r="M16" s="828">
        <f>huishoudens!M10</f>
        <v>0</v>
      </c>
      <c r="N16" s="828">
        <f>huishoudens!N10</f>
        <v>0</v>
      </c>
      <c r="O16" s="828">
        <f>huishoudens!O10</f>
        <v>0</v>
      </c>
      <c r="P16" s="828">
        <f>huishoudens!P10</f>
        <v>0</v>
      </c>
    </row>
    <row r="18" spans="1:17" ht="15.75">
      <c r="A18" s="1119" t="s">
        <v>571</v>
      </c>
      <c r="B18" s="1120" t="s">
        <v>570</v>
      </c>
      <c r="C18" s="1120"/>
      <c r="D18" s="1120"/>
      <c r="E18" s="1120"/>
      <c r="F18" s="1120"/>
      <c r="G18" s="1120"/>
      <c r="H18" s="1120"/>
      <c r="I18" s="1120"/>
      <c r="J18" s="1120"/>
      <c r="K18" s="1120"/>
      <c r="L18" s="1120"/>
      <c r="M18" s="1120"/>
      <c r="N18" s="1120"/>
      <c r="O18" s="1120"/>
      <c r="P18" s="1121"/>
      <c r="Q18" s="458"/>
    </row>
    <row r="19" spans="1:17" ht="15" customHeight="1">
      <c r="A19" s="1119"/>
      <c r="B19" s="1122" t="s">
        <v>21</v>
      </c>
      <c r="C19" s="1124" t="s">
        <v>197</v>
      </c>
      <c r="D19" s="1126" t="s">
        <v>198</v>
      </c>
      <c r="E19" s="1127"/>
      <c r="F19" s="1127"/>
      <c r="G19" s="1127"/>
      <c r="H19" s="1127"/>
      <c r="I19" s="1127"/>
      <c r="J19" s="1127"/>
      <c r="K19" s="1123"/>
      <c r="L19" s="1126" t="s">
        <v>199</v>
      </c>
      <c r="M19" s="1127"/>
      <c r="N19" s="1127"/>
      <c r="O19" s="1127"/>
      <c r="P19" s="1123"/>
      <c r="Q19" s="458"/>
    </row>
    <row r="20" spans="1:17" ht="45">
      <c r="A20" s="1119"/>
      <c r="B20" s="1123"/>
      <c r="C20" s="1125"/>
      <c r="D20" s="458" t="s">
        <v>200</v>
      </c>
      <c r="E20" s="458" t="s">
        <v>201</v>
      </c>
      <c r="F20" s="458" t="s">
        <v>202</v>
      </c>
      <c r="G20" s="458" t="s">
        <v>203</v>
      </c>
      <c r="H20" s="458" t="s">
        <v>120</v>
      </c>
      <c r="I20" s="458" t="s">
        <v>204</v>
      </c>
      <c r="J20" s="458" t="s">
        <v>205</v>
      </c>
      <c r="K20" s="458" t="s">
        <v>206</v>
      </c>
      <c r="L20" s="458" t="s">
        <v>207</v>
      </c>
      <c r="M20" s="458" t="s">
        <v>208</v>
      </c>
      <c r="N20" s="458" t="s">
        <v>209</v>
      </c>
      <c r="O20" s="458" t="s">
        <v>210</v>
      </c>
      <c r="P20" s="458" t="s">
        <v>211</v>
      </c>
      <c r="Q20" s="458" t="s">
        <v>116</v>
      </c>
    </row>
    <row r="21" spans="1:17">
      <c r="A21" s="460" t="s">
        <v>155</v>
      </c>
      <c r="B21" s="461">
        <f t="shared" ref="B21:B30" ca="1" si="2">B4*$B$16</f>
        <v>4807.9642960102256</v>
      </c>
      <c r="C21" s="461">
        <f t="shared" ref="C21:C28" ca="1" si="3">C4*$C$16</f>
        <v>0</v>
      </c>
      <c r="D21" s="461">
        <f t="shared" ref="D21:D30" si="4">D4*$D$16</f>
        <v>6340.221096704</v>
      </c>
      <c r="E21" s="461">
        <f t="shared" ref="E21:E30" si="5">E4*$E$16</f>
        <v>917.64421870297508</v>
      </c>
      <c r="F21" s="461">
        <f t="shared" ref="F21:F28" si="6">F4*$F$16</f>
        <v>10590.967075828288</v>
      </c>
      <c r="G21" s="461">
        <f t="shared" ref="G21:G30" si="7">G4*$G$16</f>
        <v>0</v>
      </c>
      <c r="H21" s="461">
        <f t="shared" ref="H21:H30" si="8">H4*$H$16</f>
        <v>0</v>
      </c>
      <c r="I21" s="461">
        <f t="shared" ref="I21:I28" si="9">I4*$I$16</f>
        <v>0</v>
      </c>
      <c r="J21" s="461">
        <f t="shared" ref="J21:J28" si="10">J4*$J$16</f>
        <v>0</v>
      </c>
      <c r="K21" s="461">
        <f t="shared" ref="K21:K28" si="11">K4*$K$16</f>
        <v>0</v>
      </c>
      <c r="L21" s="461">
        <f t="shared" ref="L21:L28" si="12">L4*$L$16</f>
        <v>0</v>
      </c>
      <c r="M21" s="461">
        <f t="shared" ref="M21:M30" si="13">M4*$M$16</f>
        <v>0</v>
      </c>
      <c r="N21" s="461">
        <f t="shared" ref="N21:N28" si="14">N4*$N$16</f>
        <v>0</v>
      </c>
      <c r="O21" s="461">
        <f t="shared" ref="O21:O28" si="15">O4*$O$16</f>
        <v>0</v>
      </c>
      <c r="P21" s="475">
        <f t="shared" ref="P21:P28" si="16">P4*$P$16</f>
        <v>0</v>
      </c>
      <c r="Q21" s="463">
        <f ca="1">SUM(B21:P21)</f>
        <v>22656.796687245489</v>
      </c>
    </row>
    <row r="22" spans="1:17">
      <c r="A22" s="460" t="s">
        <v>156</v>
      </c>
      <c r="B22" s="461">
        <f t="shared" ca="1" si="2"/>
        <v>1329.4392884960573</v>
      </c>
      <c r="C22" s="461">
        <f t="shared" ca="1" si="3"/>
        <v>0</v>
      </c>
      <c r="D22" s="461">
        <f t="shared" ca="1" si="4"/>
        <v>1007.5569631160002</v>
      </c>
      <c r="E22" s="461">
        <f t="shared" si="5"/>
        <v>31.807994060105667</v>
      </c>
      <c r="F22" s="461">
        <f t="shared" ca="1" si="6"/>
        <v>352.72952788018222</v>
      </c>
      <c r="G22" s="461">
        <f t="shared" si="7"/>
        <v>0</v>
      </c>
      <c r="H22" s="461">
        <f t="shared" si="8"/>
        <v>0</v>
      </c>
      <c r="I22" s="461">
        <f t="shared" si="9"/>
        <v>0</v>
      </c>
      <c r="J22" s="461">
        <f t="shared" si="10"/>
        <v>0</v>
      </c>
      <c r="K22" s="461">
        <f t="shared" si="11"/>
        <v>0</v>
      </c>
      <c r="L22" s="461">
        <f t="shared" ca="1" si="12"/>
        <v>0</v>
      </c>
      <c r="M22" s="461">
        <f t="shared" si="13"/>
        <v>0</v>
      </c>
      <c r="N22" s="461">
        <f t="shared" ca="1" si="14"/>
        <v>0</v>
      </c>
      <c r="O22" s="461">
        <f t="shared" si="15"/>
        <v>0</v>
      </c>
      <c r="P22" s="462">
        <f t="shared" si="16"/>
        <v>0</v>
      </c>
      <c r="Q22" s="460">
        <f t="shared" ref="Q22:Q30" ca="1" si="17">SUM(B22:P22)</f>
        <v>2721.5337735523453</v>
      </c>
    </row>
    <row r="23" spans="1:17">
      <c r="A23" s="460" t="s">
        <v>195</v>
      </c>
      <c r="B23" s="461">
        <f t="shared" ca="1" si="2"/>
        <v>163.22526895438796</v>
      </c>
      <c r="C23" s="461"/>
      <c r="D23" s="461"/>
      <c r="E23" s="461"/>
      <c r="F23" s="461"/>
      <c r="G23" s="461"/>
      <c r="H23" s="461"/>
      <c r="I23" s="461"/>
      <c r="J23" s="461"/>
      <c r="K23" s="461"/>
      <c r="L23" s="461"/>
      <c r="M23" s="461"/>
      <c r="N23" s="461"/>
      <c r="O23" s="461"/>
      <c r="P23" s="462"/>
      <c r="Q23" s="460">
        <f t="shared" ca="1" si="17"/>
        <v>163.22526895438796</v>
      </c>
    </row>
    <row r="24" spans="1:17">
      <c r="A24" s="460" t="s">
        <v>112</v>
      </c>
      <c r="B24" s="461">
        <f t="shared" ca="1" si="2"/>
        <v>95.344407873820685</v>
      </c>
      <c r="C24" s="461">
        <f t="shared" ca="1" si="3"/>
        <v>0</v>
      </c>
      <c r="D24" s="461">
        <f t="shared" si="4"/>
        <v>10.016300491999999</v>
      </c>
      <c r="E24" s="461">
        <f t="shared" si="5"/>
        <v>1.1044106537642047</v>
      </c>
      <c r="F24" s="461">
        <f t="shared" si="6"/>
        <v>637.11210772059985</v>
      </c>
      <c r="G24" s="461">
        <f t="shared" si="7"/>
        <v>0</v>
      </c>
      <c r="H24" s="461">
        <f t="shared" si="8"/>
        <v>0</v>
      </c>
      <c r="I24" s="461">
        <f t="shared" si="9"/>
        <v>0</v>
      </c>
      <c r="J24" s="461">
        <f t="shared" si="10"/>
        <v>14.688059660196405</v>
      </c>
      <c r="K24" s="461">
        <f t="shared" si="11"/>
        <v>0</v>
      </c>
      <c r="L24" s="461">
        <f t="shared" si="12"/>
        <v>0</v>
      </c>
      <c r="M24" s="461">
        <f t="shared" si="13"/>
        <v>0</v>
      </c>
      <c r="N24" s="461">
        <f t="shared" si="14"/>
        <v>0</v>
      </c>
      <c r="O24" s="461">
        <f t="shared" si="15"/>
        <v>0</v>
      </c>
      <c r="P24" s="462">
        <f t="shared" si="16"/>
        <v>0</v>
      </c>
      <c r="Q24" s="460">
        <f t="shared" ca="1" si="17"/>
        <v>758.26528640038111</v>
      </c>
    </row>
    <row r="25" spans="1:17">
      <c r="A25" s="460" t="s">
        <v>656</v>
      </c>
      <c r="B25" s="461">
        <f t="shared" ca="1" si="2"/>
        <v>599.76210289289145</v>
      </c>
      <c r="C25" s="461">
        <f t="shared" ca="1" si="3"/>
        <v>0</v>
      </c>
      <c r="D25" s="461">
        <f t="shared" si="4"/>
        <v>343.63200669600002</v>
      </c>
      <c r="E25" s="461">
        <f t="shared" si="5"/>
        <v>8.420014240179448</v>
      </c>
      <c r="F25" s="461">
        <f t="shared" si="6"/>
        <v>381.07011908971799</v>
      </c>
      <c r="G25" s="461">
        <f t="shared" si="7"/>
        <v>0</v>
      </c>
      <c r="H25" s="461">
        <f t="shared" si="8"/>
        <v>0</v>
      </c>
      <c r="I25" s="461">
        <f t="shared" si="9"/>
        <v>0</v>
      </c>
      <c r="J25" s="461">
        <f t="shared" si="10"/>
        <v>7.4215733365595549</v>
      </c>
      <c r="K25" s="461">
        <f t="shared" si="11"/>
        <v>0</v>
      </c>
      <c r="L25" s="461">
        <f t="shared" si="12"/>
        <v>0</v>
      </c>
      <c r="M25" s="461">
        <f t="shared" si="13"/>
        <v>0</v>
      </c>
      <c r="N25" s="461">
        <f t="shared" si="14"/>
        <v>0</v>
      </c>
      <c r="O25" s="461">
        <f t="shared" si="15"/>
        <v>0</v>
      </c>
      <c r="P25" s="462">
        <f t="shared" si="16"/>
        <v>0</v>
      </c>
      <c r="Q25" s="460">
        <f t="shared" ca="1" si="17"/>
        <v>1340.3058162553484</v>
      </c>
    </row>
    <row r="26" spans="1:17" s="466" customFormat="1">
      <c r="A26" s="464" t="s">
        <v>574</v>
      </c>
      <c r="B26" s="822">
        <f t="shared" ca="1" si="2"/>
        <v>0.21303597447145525</v>
      </c>
      <c r="C26" s="465"/>
      <c r="D26" s="465">
        <f t="shared" si="4"/>
        <v>0.95493510998368913</v>
      </c>
      <c r="E26" s="465">
        <f t="shared" si="5"/>
        <v>110.48064246801154</v>
      </c>
      <c r="F26" s="465"/>
      <c r="G26" s="465">
        <f t="shared" si="7"/>
        <v>23988.8402424388</v>
      </c>
      <c r="H26" s="465">
        <f t="shared" si="8"/>
        <v>3947.0041601470775</v>
      </c>
      <c r="I26" s="465"/>
      <c r="J26" s="465"/>
      <c r="K26" s="465"/>
      <c r="L26" s="465"/>
      <c r="M26" s="465">
        <f t="shared" si="13"/>
        <v>0</v>
      </c>
      <c r="N26" s="465"/>
      <c r="O26" s="465"/>
      <c r="P26" s="476"/>
      <c r="Q26" s="464">
        <f t="shared" ca="1" si="17"/>
        <v>28047.493016138345</v>
      </c>
    </row>
    <row r="27" spans="1:17">
      <c r="A27" s="460" t="s">
        <v>564</v>
      </c>
      <c r="B27" s="461">
        <f t="shared" ca="1" si="2"/>
        <v>0</v>
      </c>
      <c r="C27" s="461"/>
      <c r="D27" s="465">
        <f>D10*$D$16</f>
        <v>0</v>
      </c>
      <c r="E27" s="461"/>
      <c r="F27" s="461"/>
      <c r="G27" s="461">
        <f t="shared" si="7"/>
        <v>626.7588645559515</v>
      </c>
      <c r="H27" s="461"/>
      <c r="I27" s="461"/>
      <c r="J27" s="461"/>
      <c r="K27" s="461"/>
      <c r="L27" s="461"/>
      <c r="M27" s="461">
        <f t="shared" si="13"/>
        <v>0</v>
      </c>
      <c r="N27" s="461"/>
      <c r="O27" s="461"/>
      <c r="P27" s="462"/>
      <c r="Q27" s="460">
        <f t="shared" ca="1" si="17"/>
        <v>626.7588645559515</v>
      </c>
    </row>
    <row r="28" spans="1:17">
      <c r="A28" s="460" t="s">
        <v>565</v>
      </c>
      <c r="B28" s="461">
        <f t="shared" ca="1" si="2"/>
        <v>0</v>
      </c>
      <c r="C28" s="461">
        <f t="shared" ca="1" si="3"/>
        <v>0</v>
      </c>
      <c r="D28" s="461">
        <f t="shared" si="4"/>
        <v>0</v>
      </c>
      <c r="E28" s="461">
        <f t="shared" si="5"/>
        <v>0</v>
      </c>
      <c r="F28" s="461">
        <f t="shared" si="6"/>
        <v>0</v>
      </c>
      <c r="G28" s="461">
        <f t="shared" si="7"/>
        <v>0</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0</v>
      </c>
    </row>
    <row r="29" spans="1:17">
      <c r="A29" s="460" t="s">
        <v>566</v>
      </c>
      <c r="B29" s="461">
        <f t="shared" ca="1" si="2"/>
        <v>0</v>
      </c>
      <c r="C29" s="461"/>
      <c r="D29" s="461"/>
      <c r="E29" s="461"/>
      <c r="F29" s="461"/>
      <c r="G29" s="461"/>
      <c r="H29" s="461"/>
      <c r="I29" s="461"/>
      <c r="J29" s="461"/>
      <c r="K29" s="461"/>
      <c r="L29" s="461"/>
      <c r="M29" s="461"/>
      <c r="N29" s="461"/>
      <c r="O29" s="461"/>
      <c r="P29" s="462"/>
      <c r="Q29" s="460">
        <f t="shared" ca="1" si="17"/>
        <v>0</v>
      </c>
    </row>
    <row r="30" spans="1:17">
      <c r="A30" s="467" t="s">
        <v>567</v>
      </c>
      <c r="B30" s="461">
        <f t="shared" ca="1" si="2"/>
        <v>0</v>
      </c>
      <c r="C30" s="461"/>
      <c r="D30" s="461">
        <f t="shared" si="4"/>
        <v>0</v>
      </c>
      <c r="E30" s="461">
        <f t="shared" si="5"/>
        <v>0</v>
      </c>
      <c r="F30" s="461"/>
      <c r="G30" s="461">
        <f t="shared" si="7"/>
        <v>0</v>
      </c>
      <c r="H30" s="461">
        <f t="shared" si="8"/>
        <v>0</v>
      </c>
      <c r="I30" s="461"/>
      <c r="J30" s="461"/>
      <c r="K30" s="461"/>
      <c r="L30" s="461"/>
      <c r="M30" s="461">
        <f t="shared" si="13"/>
        <v>0</v>
      </c>
      <c r="N30" s="461"/>
      <c r="O30" s="461"/>
      <c r="P30" s="462"/>
      <c r="Q30" s="460">
        <f t="shared" ca="1" si="17"/>
        <v>0</v>
      </c>
    </row>
    <row r="31" spans="1:17" s="473" customFormat="1">
      <c r="A31" s="470" t="s">
        <v>568</v>
      </c>
      <c r="B31" s="471">
        <f t="shared" ref="B31:Q31" ca="1" si="18">SUM(B21:B30)</f>
        <v>6995.9484002018535</v>
      </c>
      <c r="C31" s="471">
        <f t="shared" ca="1" si="18"/>
        <v>0</v>
      </c>
      <c r="D31" s="471">
        <f t="shared" ca="1" si="18"/>
        <v>7702.381302117984</v>
      </c>
      <c r="E31" s="471">
        <f t="shared" si="18"/>
        <v>1069.4572801250358</v>
      </c>
      <c r="F31" s="471">
        <f t="shared" ca="1" si="18"/>
        <v>11961.87883051879</v>
      </c>
      <c r="G31" s="471">
        <f t="shared" si="18"/>
        <v>24615.599106994752</v>
      </c>
      <c r="H31" s="471">
        <f t="shared" si="18"/>
        <v>3947.0041601470775</v>
      </c>
      <c r="I31" s="471">
        <f t="shared" si="18"/>
        <v>0</v>
      </c>
      <c r="J31" s="471">
        <f t="shared" si="18"/>
        <v>22.109632996755959</v>
      </c>
      <c r="K31" s="471">
        <f t="shared" si="18"/>
        <v>0</v>
      </c>
      <c r="L31" s="471">
        <f t="shared" ca="1" si="18"/>
        <v>0</v>
      </c>
      <c r="M31" s="471">
        <f t="shared" si="18"/>
        <v>0</v>
      </c>
      <c r="N31" s="471">
        <f t="shared" ca="1" si="18"/>
        <v>0</v>
      </c>
      <c r="O31" s="471">
        <f t="shared" si="18"/>
        <v>0</v>
      </c>
      <c r="P31" s="472">
        <f t="shared" si="18"/>
        <v>0</v>
      </c>
      <c r="Q31" s="472">
        <f t="shared" ca="1" si="18"/>
        <v>56314.378713102247</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topLeftCell="A4" zoomScale="55" zoomScaleNormal="55" workbookViewId="0">
      <selection activeCell="M10" sqref="M10"/>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87" customFormat="1" ht="21">
      <c r="A1" s="1128" t="s">
        <v>563</v>
      </c>
      <c r="B1" s="1129" t="s">
        <v>884</v>
      </c>
      <c r="C1" s="1129"/>
      <c r="D1" s="1129"/>
      <c r="E1" s="1129"/>
      <c r="F1" s="1129"/>
      <c r="G1" s="1129"/>
      <c r="H1" s="1129"/>
      <c r="I1" s="1129"/>
      <c r="J1" s="1129"/>
      <c r="K1" s="1129"/>
      <c r="L1" s="1129"/>
      <c r="M1" s="1129"/>
      <c r="N1" s="1129"/>
      <c r="O1" s="1129"/>
      <c r="P1" s="1130"/>
      <c r="Q1" s="1019"/>
    </row>
    <row r="2" spans="1:17" s="987" customFormat="1" ht="21">
      <c r="A2" s="1128"/>
      <c r="B2" s="1131" t="s">
        <v>21</v>
      </c>
      <c r="C2" s="1133" t="s">
        <v>197</v>
      </c>
      <c r="D2" s="1135" t="s">
        <v>198</v>
      </c>
      <c r="E2" s="1136"/>
      <c r="F2" s="1136"/>
      <c r="G2" s="1136"/>
      <c r="H2" s="1136"/>
      <c r="I2" s="1136"/>
      <c r="J2" s="1136"/>
      <c r="K2" s="1132"/>
      <c r="L2" s="1135" t="s">
        <v>199</v>
      </c>
      <c r="M2" s="1136"/>
      <c r="N2" s="1136"/>
      <c r="O2" s="1136"/>
      <c r="P2" s="1132"/>
      <c r="Q2" s="1019"/>
    </row>
    <row r="3" spans="1:17" s="987" customFormat="1" ht="42">
      <c r="A3" s="1128"/>
      <c r="B3" s="1132"/>
      <c r="C3" s="1134"/>
      <c r="D3" s="1001" t="s">
        <v>200</v>
      </c>
      <c r="E3" s="1001" t="s">
        <v>201</v>
      </c>
      <c r="F3" s="1001" t="s">
        <v>202</v>
      </c>
      <c r="G3" s="1001" t="s">
        <v>203</v>
      </c>
      <c r="H3" s="1001" t="s">
        <v>120</v>
      </c>
      <c r="I3" s="1001" t="s">
        <v>204</v>
      </c>
      <c r="J3" s="1001" t="s">
        <v>205</v>
      </c>
      <c r="K3" s="1001" t="s">
        <v>206</v>
      </c>
      <c r="L3" s="1001" t="s">
        <v>207</v>
      </c>
      <c r="M3" s="1001" t="s">
        <v>208</v>
      </c>
      <c r="N3" s="1001" t="s">
        <v>209</v>
      </c>
      <c r="O3" s="1001" t="s">
        <v>210</v>
      </c>
      <c r="P3" s="1001" t="s">
        <v>211</v>
      </c>
      <c r="Q3" s="1019" t="s">
        <v>116</v>
      </c>
    </row>
    <row r="4" spans="1:17" ht="124.35" customHeight="1">
      <c r="A4" s="1005" t="s">
        <v>155</v>
      </c>
      <c r="B4" s="1025" t="s">
        <v>885</v>
      </c>
      <c r="C4" s="1026" t="s">
        <v>886</v>
      </c>
      <c r="D4" s="1027" t="s">
        <v>887</v>
      </c>
      <c r="E4" s="1028" t="s">
        <v>888</v>
      </c>
      <c r="F4" s="1028" t="s">
        <v>889</v>
      </c>
      <c r="G4" s="1029" t="s">
        <v>892</v>
      </c>
      <c r="H4" s="1029" t="s">
        <v>892</v>
      </c>
      <c r="I4" s="1029" t="s">
        <v>892</v>
      </c>
      <c r="J4" s="1028" t="s">
        <v>891</v>
      </c>
      <c r="K4" s="1029" t="s">
        <v>892</v>
      </c>
      <c r="L4" s="1029" t="s">
        <v>892</v>
      </c>
      <c r="M4" s="1029" t="s">
        <v>892</v>
      </c>
      <c r="N4" s="1028" t="s">
        <v>893</v>
      </c>
      <c r="O4" s="1030" t="s">
        <v>894</v>
      </c>
      <c r="P4" s="1031" t="s">
        <v>895</v>
      </c>
      <c r="Q4" s="1032"/>
    </row>
    <row r="5" spans="1:17" ht="124.35" customHeight="1">
      <c r="A5" s="1006" t="s">
        <v>156</v>
      </c>
      <c r="B5" s="1007" t="s">
        <v>896</v>
      </c>
      <c r="C5" s="1008" t="s">
        <v>897</v>
      </c>
      <c r="D5" s="1008" t="s">
        <v>898</v>
      </c>
      <c r="E5" s="1009" t="s">
        <v>899</v>
      </c>
      <c r="F5" s="1009" t="s">
        <v>900</v>
      </c>
      <c r="G5" s="1010" t="s">
        <v>892</v>
      </c>
      <c r="H5" s="1010" t="s">
        <v>892</v>
      </c>
      <c r="I5" s="1010" t="s">
        <v>892</v>
      </c>
      <c r="J5" s="1009" t="s">
        <v>901</v>
      </c>
      <c r="K5" s="1007" t="s">
        <v>902</v>
      </c>
      <c r="L5" s="1010" t="s">
        <v>892</v>
      </c>
      <c r="M5" s="1010" t="s">
        <v>892</v>
      </c>
      <c r="N5" s="1009" t="s">
        <v>903</v>
      </c>
      <c r="O5" s="1011" t="s">
        <v>894</v>
      </c>
      <c r="P5" s="1020" t="s">
        <v>895</v>
      </c>
      <c r="Q5" s="1002"/>
    </row>
    <row r="6" spans="1:17" ht="124.35" customHeight="1">
      <c r="A6" s="1006" t="s">
        <v>195</v>
      </c>
      <c r="B6" s="1012" t="s">
        <v>904</v>
      </c>
      <c r="C6" s="1013" t="s">
        <v>890</v>
      </c>
      <c r="D6" s="1010" t="s">
        <v>890</v>
      </c>
      <c r="E6" s="1010" t="s">
        <v>890</v>
      </c>
      <c r="F6" s="1010" t="s">
        <v>890</v>
      </c>
      <c r="G6" s="1010" t="s">
        <v>890</v>
      </c>
      <c r="H6" s="1010" t="s">
        <v>890</v>
      </c>
      <c r="I6" s="1010" t="s">
        <v>890</v>
      </c>
      <c r="J6" s="1010" t="s">
        <v>890</v>
      </c>
      <c r="K6" s="1010" t="s">
        <v>890</v>
      </c>
      <c r="L6" s="1010" t="s">
        <v>890</v>
      </c>
      <c r="M6" s="1010" t="s">
        <v>890</v>
      </c>
      <c r="N6" s="1010" t="s">
        <v>890</v>
      </c>
      <c r="O6" s="1014" t="s">
        <v>890</v>
      </c>
      <c r="P6" s="1021" t="s">
        <v>890</v>
      </c>
      <c r="Q6" s="1003"/>
    </row>
    <row r="7" spans="1:17" ht="124.35" customHeight="1">
      <c r="A7" s="1006" t="s">
        <v>112</v>
      </c>
      <c r="B7" s="1012" t="s">
        <v>904</v>
      </c>
      <c r="C7" s="1008" t="s">
        <v>897</v>
      </c>
      <c r="D7" s="1008" t="s">
        <v>898</v>
      </c>
      <c r="E7" s="1009" t="s">
        <v>899</v>
      </c>
      <c r="F7" s="1009" t="s">
        <v>900</v>
      </c>
      <c r="G7" s="1010" t="s">
        <v>892</v>
      </c>
      <c r="H7" s="1010" t="s">
        <v>892</v>
      </c>
      <c r="I7" s="1010" t="s">
        <v>892</v>
      </c>
      <c r="J7" s="1009" t="s">
        <v>901</v>
      </c>
      <c r="K7" s="1010" t="s">
        <v>892</v>
      </c>
      <c r="L7" s="1010" t="s">
        <v>892</v>
      </c>
      <c r="M7" s="1010" t="s">
        <v>892</v>
      </c>
      <c r="N7" s="1015" t="s">
        <v>892</v>
      </c>
      <c r="O7" s="1013" t="s">
        <v>892</v>
      </c>
      <c r="P7" s="1022" t="s">
        <v>892</v>
      </c>
      <c r="Q7" s="1002"/>
    </row>
    <row r="8" spans="1:17" ht="124.35" customHeight="1">
      <c r="A8" s="1006" t="s">
        <v>656</v>
      </c>
      <c r="B8" s="1007" t="s">
        <v>905</v>
      </c>
      <c r="C8" s="1008" t="s">
        <v>897</v>
      </c>
      <c r="D8" s="1008" t="s">
        <v>898</v>
      </c>
      <c r="E8" s="1009" t="s">
        <v>899</v>
      </c>
      <c r="F8" s="1009" t="s">
        <v>900</v>
      </c>
      <c r="G8" s="1010" t="s">
        <v>892</v>
      </c>
      <c r="H8" s="1010" t="s">
        <v>892</v>
      </c>
      <c r="I8" s="1010" t="s">
        <v>892</v>
      </c>
      <c r="J8" s="1009" t="s">
        <v>901</v>
      </c>
      <c r="K8" s="1007" t="s">
        <v>902</v>
      </c>
      <c r="L8" s="1010" t="s">
        <v>892</v>
      </c>
      <c r="M8" s="1010" t="s">
        <v>892</v>
      </c>
      <c r="N8" s="1009" t="s">
        <v>903</v>
      </c>
      <c r="O8" s="1011" t="s">
        <v>894</v>
      </c>
      <c r="P8" s="1020" t="s">
        <v>895</v>
      </c>
      <c r="Q8" s="1002"/>
    </row>
    <row r="9" spans="1:17" s="466" customFormat="1" ht="124.35" customHeight="1">
      <c r="A9" s="1016" t="s">
        <v>574</v>
      </c>
      <c r="B9" s="1009" t="s">
        <v>906</v>
      </c>
      <c r="C9" s="1014" t="s">
        <v>890</v>
      </c>
      <c r="D9" s="1009" t="s">
        <v>907</v>
      </c>
      <c r="E9" s="1009" t="s">
        <v>908</v>
      </c>
      <c r="F9" s="1010" t="s">
        <v>890</v>
      </c>
      <c r="G9" s="1009" t="s">
        <v>909</v>
      </c>
      <c r="H9" s="1009" t="s">
        <v>910</v>
      </c>
      <c r="I9" s="1010" t="s">
        <v>890</v>
      </c>
      <c r="J9" s="1010" t="s">
        <v>890</v>
      </c>
      <c r="K9" s="1010" t="s">
        <v>890</v>
      </c>
      <c r="L9" s="1010" t="s">
        <v>890</v>
      </c>
      <c r="M9" s="1009" t="s">
        <v>906</v>
      </c>
      <c r="N9" s="1010" t="s">
        <v>890</v>
      </c>
      <c r="O9" s="1010" t="s">
        <v>890</v>
      </c>
      <c r="P9" s="1023" t="s">
        <v>890</v>
      </c>
      <c r="Q9" s="1004"/>
    </row>
    <row r="10" spans="1:17" ht="124.35" customHeight="1">
      <c r="A10" s="1006" t="s">
        <v>564</v>
      </c>
      <c r="B10" s="1007" t="s">
        <v>921</v>
      </c>
      <c r="C10" s="1014" t="s">
        <v>890</v>
      </c>
      <c r="D10" s="1014" t="s">
        <v>890</v>
      </c>
      <c r="E10" s="1014" t="s">
        <v>890</v>
      </c>
      <c r="F10" s="1010" t="s">
        <v>890</v>
      </c>
      <c r="G10" s="1007" t="s">
        <v>911</v>
      </c>
      <c r="H10" s="1010" t="s">
        <v>890</v>
      </c>
      <c r="I10" s="1010" t="s">
        <v>890</v>
      </c>
      <c r="J10" s="1010" t="s">
        <v>890</v>
      </c>
      <c r="K10" s="1010" t="s">
        <v>890</v>
      </c>
      <c r="L10" s="1010" t="s">
        <v>890</v>
      </c>
      <c r="M10" s="1007" t="s">
        <v>912</v>
      </c>
      <c r="N10" s="1010" t="s">
        <v>890</v>
      </c>
      <c r="O10" s="1010" t="s">
        <v>890</v>
      </c>
      <c r="P10" s="1023" t="s">
        <v>890</v>
      </c>
      <c r="Q10" s="1002"/>
    </row>
    <row r="11" spans="1:17" ht="21">
      <c r="A11" s="1006" t="s">
        <v>565</v>
      </c>
      <c r="B11" s="1017" t="s">
        <v>913</v>
      </c>
      <c r="C11" s="1017" t="s">
        <v>913</v>
      </c>
      <c r="D11" s="1017" t="s">
        <v>913</v>
      </c>
      <c r="E11" s="1017" t="s">
        <v>913</v>
      </c>
      <c r="F11" s="1017" t="s">
        <v>913</v>
      </c>
      <c r="G11" s="1017" t="s">
        <v>913</v>
      </c>
      <c r="H11" s="1017" t="s">
        <v>913</v>
      </c>
      <c r="I11" s="1017" t="s">
        <v>913</v>
      </c>
      <c r="J11" s="1017" t="s">
        <v>913</v>
      </c>
      <c r="K11" s="1017" t="s">
        <v>913</v>
      </c>
      <c r="L11" s="1017" t="s">
        <v>913</v>
      </c>
      <c r="M11" s="1017" t="s">
        <v>913</v>
      </c>
      <c r="N11" s="1017" t="s">
        <v>913</v>
      </c>
      <c r="O11" s="1017" t="s">
        <v>913</v>
      </c>
      <c r="P11" s="1033" t="s">
        <v>913</v>
      </c>
      <c r="Q11" s="1034"/>
    </row>
    <row r="12" spans="1:17" ht="21">
      <c r="A12" s="1006" t="s">
        <v>566</v>
      </c>
      <c r="B12" s="1017" t="s">
        <v>913</v>
      </c>
      <c r="C12" s="1017" t="s">
        <v>890</v>
      </c>
      <c r="D12" s="1017" t="s">
        <v>890</v>
      </c>
      <c r="E12" s="1017" t="s">
        <v>890</v>
      </c>
      <c r="F12" s="1017" t="s">
        <v>890</v>
      </c>
      <c r="G12" s="1017" t="s">
        <v>890</v>
      </c>
      <c r="H12" s="1017" t="s">
        <v>890</v>
      </c>
      <c r="I12" s="1017" t="s">
        <v>890</v>
      </c>
      <c r="J12" s="1017" t="s">
        <v>890</v>
      </c>
      <c r="K12" s="1017" t="s">
        <v>890</v>
      </c>
      <c r="L12" s="1017" t="s">
        <v>890</v>
      </c>
      <c r="M12" s="1017" t="s">
        <v>890</v>
      </c>
      <c r="N12" s="1017" t="s">
        <v>890</v>
      </c>
      <c r="O12" s="1017" t="s">
        <v>890</v>
      </c>
      <c r="P12" s="1024" t="s">
        <v>890</v>
      </c>
      <c r="Q12" s="462"/>
    </row>
    <row r="13" spans="1:17" ht="21">
      <c r="A13" s="988" t="s">
        <v>567</v>
      </c>
      <c r="B13" s="1018" t="s">
        <v>913</v>
      </c>
      <c r="C13" s="461" t="s">
        <v>890</v>
      </c>
      <c r="D13" s="468" t="s">
        <v>913</v>
      </c>
      <c r="E13" s="468" t="s">
        <v>913</v>
      </c>
      <c r="F13" s="468" t="s">
        <v>890</v>
      </c>
      <c r="G13" s="468" t="s">
        <v>913</v>
      </c>
      <c r="H13" s="468" t="s">
        <v>913</v>
      </c>
      <c r="I13" s="468" t="s">
        <v>890</v>
      </c>
      <c r="J13" s="468" t="s">
        <v>890</v>
      </c>
      <c r="K13" s="468" t="s">
        <v>890</v>
      </c>
      <c r="L13" s="468" t="s">
        <v>890</v>
      </c>
      <c r="M13" s="989" t="s">
        <v>913</v>
      </c>
      <c r="N13" s="468" t="s">
        <v>890</v>
      </c>
      <c r="O13" s="468" t="s">
        <v>890</v>
      </c>
      <c r="P13" s="468" t="s">
        <v>890</v>
      </c>
      <c r="Q13" s="467"/>
    </row>
    <row r="14" spans="1:17" s="473" customFormat="1" ht="21">
      <c r="A14" s="990" t="s">
        <v>568</v>
      </c>
      <c r="B14" s="471"/>
      <c r="C14" s="471"/>
      <c r="D14" s="471"/>
      <c r="E14" s="471"/>
      <c r="F14" s="471"/>
      <c r="G14" s="471"/>
      <c r="H14" s="471"/>
      <c r="I14" s="471"/>
      <c r="J14" s="471"/>
      <c r="K14" s="471"/>
      <c r="L14" s="471"/>
      <c r="M14" s="991"/>
      <c r="N14" s="471"/>
      <c r="O14" s="471"/>
      <c r="P14" s="472"/>
      <c r="Q14" s="992"/>
    </row>
    <row r="15" spans="1:17">
      <c r="M15" s="993"/>
    </row>
    <row r="16" spans="1:17">
      <c r="B16" s="994">
        <v>1</v>
      </c>
      <c r="C16" s="995">
        <v>2</v>
      </c>
      <c r="D16" s="996">
        <v>3</v>
      </c>
    </row>
    <row r="17" spans="1:4" ht="252">
      <c r="A17" s="997" t="s">
        <v>914</v>
      </c>
      <c r="B17" s="998" t="s">
        <v>915</v>
      </c>
      <c r="C17" s="999" t="s">
        <v>916</v>
      </c>
      <c r="D17" s="1000" t="s">
        <v>917</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D12" sqref="D12"/>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386</v>
      </c>
      <c r="B2" s="110"/>
      <c r="C2" s="111"/>
    </row>
    <row r="3" spans="1:3" s="15" customFormat="1" ht="15.75">
      <c r="A3" s="98"/>
      <c r="B3" s="70"/>
      <c r="C3" s="99"/>
    </row>
    <row r="4" spans="1:3">
      <c r="A4" s="95" t="s">
        <v>365</v>
      </c>
      <c r="B4" s="69" t="s">
        <v>377</v>
      </c>
      <c r="C4" s="100" t="s">
        <v>376</v>
      </c>
    </row>
    <row r="5" spans="1:3">
      <c r="A5" s="112"/>
      <c r="B5" s="43"/>
      <c r="C5" s="96"/>
    </row>
    <row r="6" spans="1:3" ht="30">
      <c r="A6" s="113" t="s">
        <v>590</v>
      </c>
      <c r="B6" s="75" t="s">
        <v>591</v>
      </c>
      <c r="C6" s="443" t="s">
        <v>752</v>
      </c>
    </row>
    <row r="7" spans="1:3">
      <c r="A7" s="125"/>
      <c r="B7" s="129"/>
      <c r="C7" s="122"/>
    </row>
    <row r="8" spans="1:3">
      <c r="A8" s="113" t="s">
        <v>593</v>
      </c>
      <c r="B8" s="75" t="s">
        <v>592</v>
      </c>
      <c r="C8" s="443" t="s">
        <v>390</v>
      </c>
    </row>
    <row r="9" spans="1:3">
      <c r="A9" s="125"/>
      <c r="B9" s="129"/>
      <c r="C9" s="122"/>
    </row>
    <row r="10" spans="1:3">
      <c r="A10" s="113" t="s">
        <v>329</v>
      </c>
      <c r="B10" s="75" t="s">
        <v>388</v>
      </c>
      <c r="C10" s="114" t="s">
        <v>390</v>
      </c>
    </row>
    <row r="11" spans="1:3">
      <c r="A11" s="125"/>
      <c r="B11" s="129"/>
      <c r="C11" s="122"/>
    </row>
    <row r="12" spans="1:3" ht="30">
      <c r="A12" s="113" t="s">
        <v>416</v>
      </c>
      <c r="B12" s="75" t="s">
        <v>534</v>
      </c>
      <c r="C12" s="315" t="s">
        <v>627</v>
      </c>
    </row>
    <row r="13" spans="1:3">
      <c r="A13" s="141"/>
      <c r="B13" s="124"/>
      <c r="C13" s="303"/>
    </row>
    <row r="14" spans="1:3" s="11" customFormat="1">
      <c r="A14" s="113" t="s">
        <v>610</v>
      </c>
      <c r="B14" s="130" t="s">
        <v>611</v>
      </c>
      <c r="C14" s="131" t="s">
        <v>612</v>
      </c>
    </row>
    <row r="15" spans="1:3" s="11" customFormat="1">
      <c r="A15" s="141"/>
      <c r="B15" s="159"/>
      <c r="C15" s="160"/>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Q27" sqref="Q27"/>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19" t="s">
        <v>389</v>
      </c>
      <c r="B1" s="1137" t="s">
        <v>196</v>
      </c>
      <c r="C1" s="1138"/>
      <c r="D1" s="1138"/>
      <c r="E1" s="1138"/>
      <c r="F1" s="1138"/>
      <c r="G1" s="1138"/>
      <c r="H1" s="1138"/>
      <c r="I1" s="1138"/>
      <c r="J1" s="1138"/>
      <c r="K1" s="1138"/>
      <c r="L1" s="1138"/>
      <c r="M1" s="1138"/>
      <c r="N1" s="1138"/>
      <c r="O1" s="1138"/>
      <c r="P1" s="1138"/>
    </row>
    <row r="2" spans="1:16" ht="15" customHeight="1" outlineLevel="1" thickTop="1">
      <c r="A2" s="1119"/>
      <c r="B2" s="1139" t="s">
        <v>21</v>
      </c>
      <c r="C2" s="1139" t="s">
        <v>197</v>
      </c>
      <c r="D2" s="1140" t="s">
        <v>198</v>
      </c>
      <c r="E2" s="1141"/>
      <c r="F2" s="1141"/>
      <c r="G2" s="1141"/>
      <c r="H2" s="1141"/>
      <c r="I2" s="1141"/>
      <c r="J2" s="1141"/>
      <c r="K2" s="1142"/>
      <c r="L2" s="1140" t="s">
        <v>199</v>
      </c>
      <c r="M2" s="1141"/>
      <c r="N2" s="1141"/>
      <c r="O2" s="1141"/>
      <c r="P2" s="1142"/>
    </row>
    <row r="3" spans="1:16" ht="56.25" customHeight="1" outlineLevel="1">
      <c r="A3" s="1119"/>
      <c r="B3" s="1125"/>
      <c r="C3" s="1125"/>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697" t="s">
        <v>622</v>
      </c>
      <c r="B4" s="477"/>
      <c r="C4" s="477"/>
      <c r="D4" s="477"/>
      <c r="E4" s="477"/>
      <c r="F4" s="477"/>
      <c r="G4" s="509"/>
      <c r="H4" s="509"/>
      <c r="I4" s="477"/>
      <c r="J4" s="477"/>
      <c r="K4" s="477"/>
      <c r="L4" s="477"/>
      <c r="M4" s="477"/>
      <c r="N4" s="477"/>
      <c r="O4" s="477"/>
      <c r="P4" s="477"/>
    </row>
    <row r="5" spans="1:16" outlineLevel="1">
      <c r="A5" s="697" t="s">
        <v>623</v>
      </c>
      <c r="B5" s="477"/>
      <c r="C5" s="477"/>
      <c r="D5" s="477"/>
      <c r="E5" s="477"/>
      <c r="F5" s="477"/>
      <c r="G5" s="509"/>
      <c r="H5" s="509"/>
      <c r="I5" s="477"/>
      <c r="J5" s="477"/>
      <c r="K5" s="477"/>
      <c r="L5" s="477"/>
      <c r="M5" s="477"/>
      <c r="N5" s="477"/>
      <c r="O5" s="477"/>
      <c r="P5" s="477"/>
    </row>
    <row r="6" spans="1:16" outlineLevel="1">
      <c r="A6" s="697" t="s">
        <v>624</v>
      </c>
      <c r="B6" s="477"/>
      <c r="C6" s="477"/>
      <c r="D6" s="477"/>
      <c r="E6" s="477"/>
      <c r="F6" s="477"/>
      <c r="G6" s="509"/>
      <c r="H6" s="509"/>
      <c r="I6" s="477"/>
      <c r="J6" s="477"/>
      <c r="K6" s="477"/>
      <c r="L6" s="477"/>
      <c r="M6" s="477"/>
      <c r="N6" s="477"/>
      <c r="O6" s="477"/>
      <c r="P6" s="477"/>
    </row>
    <row r="7" spans="1:16" outlineLevel="1">
      <c r="A7" s="479"/>
      <c r="B7" s="477"/>
      <c r="C7" s="477"/>
      <c r="D7" s="477"/>
      <c r="E7" s="477"/>
      <c r="F7" s="477"/>
      <c r="G7" s="509"/>
      <c r="H7" s="509"/>
      <c r="I7" s="477"/>
      <c r="J7" s="477"/>
      <c r="K7" s="477"/>
      <c r="L7" s="477"/>
      <c r="M7" s="477"/>
      <c r="N7" s="477"/>
      <c r="O7" s="477"/>
      <c r="P7" s="477"/>
    </row>
    <row r="8" spans="1:16" outlineLevel="1">
      <c r="A8" s="698" t="s">
        <v>625</v>
      </c>
      <c r="B8" s="477"/>
      <c r="C8" s="477"/>
      <c r="D8" s="477"/>
      <c r="E8" s="477"/>
      <c r="F8" s="477"/>
      <c r="G8" s="509"/>
      <c r="H8" s="509"/>
      <c r="I8" s="477"/>
      <c r="J8" s="477"/>
      <c r="K8" s="477"/>
      <c r="L8" s="477"/>
      <c r="M8" s="477"/>
      <c r="N8" s="477"/>
      <c r="O8" s="477"/>
      <c r="P8" s="477"/>
    </row>
    <row r="9" spans="1:16" outlineLevel="1">
      <c r="A9" s="479"/>
      <c r="B9" s="477"/>
      <c r="C9" s="477"/>
      <c r="D9" s="477"/>
      <c r="E9" s="477"/>
      <c r="F9" s="477"/>
      <c r="G9" s="509"/>
      <c r="H9" s="509"/>
      <c r="I9" s="477"/>
      <c r="J9" s="477"/>
      <c r="K9" s="477"/>
      <c r="L9" s="477"/>
      <c r="M9" s="477"/>
      <c r="N9" s="477"/>
      <c r="O9" s="477"/>
      <c r="P9" s="477"/>
    </row>
    <row r="10" spans="1:16" outlineLevel="1">
      <c r="A10" s="479" t="s">
        <v>626</v>
      </c>
      <c r="B10" s="477"/>
      <c r="C10" s="477"/>
      <c r="D10" s="477"/>
      <c r="E10" s="477"/>
      <c r="F10" s="477"/>
      <c r="G10" s="509"/>
      <c r="H10" s="509"/>
      <c r="I10" s="477"/>
      <c r="J10" s="477"/>
      <c r="K10" s="477"/>
      <c r="L10" s="477"/>
      <c r="M10" s="477"/>
      <c r="N10" s="477"/>
      <c r="O10" s="951" t="s">
        <v>645</v>
      </c>
      <c r="P10" s="951" t="s">
        <v>644</v>
      </c>
    </row>
    <row r="11" spans="1:16" outlineLevel="1">
      <c r="A11" s="479"/>
      <c r="B11" s="477"/>
      <c r="C11" s="477"/>
      <c r="D11" s="477"/>
      <c r="E11" s="477"/>
      <c r="F11" s="477"/>
      <c r="G11" s="509"/>
      <c r="H11" s="509"/>
      <c r="I11" s="477"/>
      <c r="J11" s="477"/>
      <c r="K11" s="477"/>
      <c r="L11" s="477"/>
      <c r="M11" s="477"/>
      <c r="N11" s="477"/>
      <c r="O11" s="477"/>
      <c r="P11" s="477"/>
    </row>
    <row r="12" spans="1:16" ht="15.75" outlineLevel="1" thickBot="1">
      <c r="B12" s="477"/>
      <c r="C12" s="477"/>
      <c r="D12" s="477"/>
      <c r="E12" s="477"/>
      <c r="F12" s="477"/>
      <c r="G12" s="509"/>
      <c r="H12" s="509"/>
      <c r="I12" s="477"/>
      <c r="J12" s="477"/>
      <c r="K12" s="477"/>
      <c r="L12" s="477"/>
      <c r="M12" s="477"/>
      <c r="N12" s="477"/>
      <c r="O12" s="477"/>
      <c r="P12" s="477"/>
    </row>
    <row r="13" spans="1:16" ht="25.5" customHeight="1" outlineLevel="1" thickBot="1">
      <c r="A13" s="480" t="s">
        <v>588</v>
      </c>
      <c r="B13" s="461"/>
      <c r="C13" s="481"/>
      <c r="D13" s="481"/>
      <c r="E13" s="481"/>
      <c r="F13" s="481"/>
      <c r="G13" s="481"/>
      <c r="H13" s="481"/>
      <c r="I13" s="481"/>
      <c r="J13" s="481"/>
      <c r="K13" s="481"/>
      <c r="L13" s="481"/>
      <c r="M13" s="481"/>
      <c r="N13" s="481"/>
      <c r="O13" s="829"/>
      <c r="P13" s="829"/>
    </row>
    <row r="14" spans="1:16" outlineLevel="1"/>
    <row r="15" spans="1:16" s="473" customFormat="1" outlineLevel="1">
      <c r="A15" s="482" t="s">
        <v>306</v>
      </c>
      <c r="B15" s="483">
        <f>SUM(B4:B12)</f>
        <v>0</v>
      </c>
      <c r="C15" s="483">
        <f t="shared" ref="C15:P15" si="0">SUM(C4:C13)</f>
        <v>0</v>
      </c>
      <c r="D15" s="483">
        <f t="shared" si="0"/>
        <v>0</v>
      </c>
      <c r="E15" s="483">
        <f t="shared" si="0"/>
        <v>0</v>
      </c>
      <c r="F15" s="483">
        <f t="shared" si="0"/>
        <v>0</v>
      </c>
      <c r="G15" s="483"/>
      <c r="H15" s="483"/>
      <c r="I15" s="483">
        <f t="shared" si="0"/>
        <v>0</v>
      </c>
      <c r="J15" s="483">
        <f t="shared" si="0"/>
        <v>0</v>
      </c>
      <c r="K15" s="483">
        <f t="shared" si="0"/>
        <v>0</v>
      </c>
      <c r="L15" s="483">
        <f t="shared" si="0"/>
        <v>0</v>
      </c>
      <c r="M15" s="483">
        <f t="shared" si="0"/>
        <v>0</v>
      </c>
      <c r="N15" s="483">
        <f t="shared" si="0"/>
        <v>0</v>
      </c>
      <c r="O15" s="483">
        <f>SUM(O4:O13)</f>
        <v>0</v>
      </c>
      <c r="P15" s="483">
        <f t="shared" si="0"/>
        <v>0</v>
      </c>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0.20522445332795367</v>
      </c>
      <c r="C17" s="511">
        <f ca="1">'EF ele_warmte'!B22</f>
        <v>0</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f ca="1">C15*C17</f>
        <v>0</v>
      </c>
      <c r="D19" s="488">
        <f>D15*D17</f>
        <v>0</v>
      </c>
      <c r="E19" s="488">
        <f>E15*E17</f>
        <v>0</v>
      </c>
      <c r="F19" s="488">
        <f>F15*F17</f>
        <v>0</v>
      </c>
      <c r="G19" s="488"/>
      <c r="H19" s="488"/>
      <c r="I19" s="488">
        <f t="shared" ref="I19:P19" si="1">I15*I17</f>
        <v>0</v>
      </c>
      <c r="J19" s="488">
        <f t="shared" si="1"/>
        <v>0</v>
      </c>
      <c r="K19" s="488">
        <f t="shared" si="1"/>
        <v>0</v>
      </c>
      <c r="L19" s="488">
        <f t="shared" si="1"/>
        <v>0</v>
      </c>
      <c r="M19" s="488">
        <f t="shared" si="1"/>
        <v>0</v>
      </c>
      <c r="N19" s="488">
        <f t="shared" si="1"/>
        <v>0</v>
      </c>
      <c r="O19" s="488">
        <f>O15*O17</f>
        <v>0</v>
      </c>
      <c r="P19" s="488">
        <f t="shared" si="1"/>
        <v>0</v>
      </c>
    </row>
    <row r="22" spans="1:16" s="461" customFormat="1" ht="15" customHeight="1" outlineLevel="1">
      <c r="A22" s="489" t="s">
        <v>492</v>
      </c>
      <c r="B22" s="490"/>
      <c r="C22" s="491"/>
      <c r="D22" s="492"/>
      <c r="E22" s="493"/>
    </row>
    <row r="23" spans="1:16" s="48" customFormat="1" ht="15" customHeight="1" outlineLevel="1">
      <c r="A23" s="494"/>
      <c r="B23" s="495"/>
      <c r="C23" s="496" t="s">
        <v>380</v>
      </c>
      <c r="D23" s="496" t="s">
        <v>183</v>
      </c>
      <c r="E23" s="497"/>
    </row>
    <row r="24" spans="1:16" s="461" customFormat="1" ht="15" customHeight="1" outlineLevel="1">
      <c r="A24" s="498" t="s">
        <v>267</v>
      </c>
      <c r="B24" s="47">
        <f>EigenZB</f>
        <v>0</v>
      </c>
      <c r="C24" s="499"/>
      <c r="D24" s="950" t="s">
        <v>412</v>
      </c>
      <c r="E24" s="462"/>
    </row>
    <row r="25" spans="1:16" s="461" customFormat="1" outlineLevel="1">
      <c r="A25" s="498" t="s">
        <v>459</v>
      </c>
      <c r="B25" s="48">
        <v>4.2</v>
      </c>
      <c r="C25" s="499"/>
      <c r="D25" s="500" t="s">
        <v>520</v>
      </c>
      <c r="E25" s="476"/>
    </row>
    <row r="26" spans="1:16" s="461" customFormat="1" outlineLevel="1">
      <c r="A26" s="834" t="s">
        <v>460</v>
      </c>
      <c r="B26" s="835">
        <f>1.34/3.6</f>
        <v>0.37222222222222223</v>
      </c>
      <c r="C26" s="499" t="s">
        <v>219</v>
      </c>
      <c r="D26" s="500" t="s">
        <v>520</v>
      </c>
      <c r="E26" s="476"/>
    </row>
    <row r="27" spans="1:16" s="461" customFormat="1" outlineLevel="1">
      <c r="A27" s="501" t="s">
        <v>634</v>
      </c>
      <c r="B27" s="837">
        <f>B24*B25*B26</f>
        <v>0</v>
      </c>
      <c r="C27" s="502" t="s">
        <v>635</v>
      </c>
      <c r="D27" s="503"/>
      <c r="E27" s="504"/>
    </row>
    <row r="28" spans="1:16" s="461" customFormat="1" outlineLevel="1">
      <c r="A28" s="48"/>
      <c r="B28" s="48"/>
      <c r="C28" s="505"/>
      <c r="D28" s="499"/>
    </row>
    <row r="29" spans="1:16" s="461" customFormat="1" outlineLevel="1">
      <c r="A29" s="506" t="s">
        <v>493</v>
      </c>
      <c r="B29" s="490"/>
      <c r="C29" s="491"/>
      <c r="D29" s="492"/>
      <c r="E29" s="493"/>
    </row>
    <row r="30" spans="1:16" s="48" customFormat="1" outlineLevel="1">
      <c r="A30" s="507"/>
      <c r="B30" s="495"/>
      <c r="C30" s="496" t="s">
        <v>380</v>
      </c>
      <c r="D30" s="496" t="s">
        <v>183</v>
      </c>
      <c r="E30" s="497"/>
    </row>
    <row r="31" spans="1:16" s="461" customFormat="1" outlineLevel="1">
      <c r="A31" s="498" t="s">
        <v>458</v>
      </c>
      <c r="B31" s="47">
        <f>EigenWP</f>
        <v>0</v>
      </c>
      <c r="C31" s="499"/>
      <c r="D31" s="950" t="s">
        <v>412</v>
      </c>
      <c r="E31" s="462"/>
    </row>
    <row r="32" spans="1:16" s="461" customFormat="1" outlineLevel="1">
      <c r="A32" s="498" t="s">
        <v>456</v>
      </c>
      <c r="B32" s="48">
        <v>13</v>
      </c>
      <c r="C32" s="505" t="s">
        <v>264</v>
      </c>
      <c r="D32" s="500" t="s">
        <v>520</v>
      </c>
      <c r="E32" s="462"/>
    </row>
    <row r="33" spans="1:5" s="461" customFormat="1" outlineLevel="1">
      <c r="A33" s="498" t="s">
        <v>457</v>
      </c>
      <c r="B33" s="48">
        <v>2000</v>
      </c>
      <c r="C33" s="505" t="s">
        <v>266</v>
      </c>
      <c r="D33" s="500" t="s">
        <v>520</v>
      </c>
      <c r="E33" s="462"/>
    </row>
    <row r="34" spans="1:5" s="461" customFormat="1" outlineLevel="1">
      <c r="A34" s="834" t="s">
        <v>385</v>
      </c>
      <c r="B34" s="48">
        <v>3.75</v>
      </c>
      <c r="C34" s="505"/>
      <c r="D34" s="500" t="s">
        <v>520</v>
      </c>
      <c r="E34" s="462"/>
    </row>
    <row r="35" spans="1:5" s="461" customFormat="1" outlineLevel="1">
      <c r="A35" s="501" t="s">
        <v>634</v>
      </c>
      <c r="B35" s="836">
        <f>B31*B32*B33/1000-B31*B32*B33/1000/B34</f>
        <v>0</v>
      </c>
      <c r="C35" s="508" t="s">
        <v>635</v>
      </c>
      <c r="D35" s="503"/>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19" t="s">
        <v>389</v>
      </c>
      <c r="B1" s="1137" t="s">
        <v>196</v>
      </c>
      <c r="C1" s="1138"/>
      <c r="D1" s="1138"/>
      <c r="E1" s="1138"/>
      <c r="F1" s="1138"/>
      <c r="G1" s="1138"/>
      <c r="H1" s="1138"/>
      <c r="I1" s="1138"/>
      <c r="J1" s="1138"/>
      <c r="K1" s="1138"/>
      <c r="L1" s="1138"/>
      <c r="M1" s="1138"/>
      <c r="N1" s="1138"/>
      <c r="O1" s="1138"/>
      <c r="P1" s="1138"/>
    </row>
    <row r="2" spans="1:16" ht="15" customHeight="1" outlineLevel="1" thickTop="1">
      <c r="A2" s="1119"/>
      <c r="B2" s="1139" t="s">
        <v>21</v>
      </c>
      <c r="C2" s="1139" t="s">
        <v>197</v>
      </c>
      <c r="D2" s="1140" t="s">
        <v>198</v>
      </c>
      <c r="E2" s="1141"/>
      <c r="F2" s="1141"/>
      <c r="G2" s="1141"/>
      <c r="H2" s="1141"/>
      <c r="I2" s="1141"/>
      <c r="J2" s="1141"/>
      <c r="K2" s="1142"/>
      <c r="L2" s="1140" t="s">
        <v>199</v>
      </c>
      <c r="M2" s="1141"/>
      <c r="N2" s="1141"/>
      <c r="O2" s="1141"/>
      <c r="P2" s="1142"/>
    </row>
    <row r="3" spans="1:16" ht="56.25" customHeight="1" outlineLevel="1">
      <c r="A3" s="1119"/>
      <c r="B3" s="1125"/>
      <c r="C3" s="1125"/>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479"/>
      <c r="B4" s="477"/>
      <c r="C4" s="509"/>
      <c r="D4" s="509"/>
      <c r="E4" s="509"/>
      <c r="F4" s="509"/>
      <c r="G4" s="509"/>
      <c r="H4" s="509"/>
      <c r="I4" s="509"/>
      <c r="J4" s="509"/>
      <c r="K4" s="509"/>
      <c r="L4" s="509"/>
      <c r="M4" s="509"/>
      <c r="N4" s="509"/>
      <c r="O4" s="509"/>
      <c r="P4" s="509"/>
    </row>
    <row r="5" spans="1:16" outlineLevel="1">
      <c r="A5" s="479"/>
      <c r="B5" s="477"/>
      <c r="C5" s="509"/>
      <c r="D5" s="509"/>
      <c r="E5" s="509"/>
      <c r="F5" s="509"/>
      <c r="G5" s="509"/>
      <c r="H5" s="509"/>
      <c r="I5" s="509"/>
      <c r="J5" s="509"/>
      <c r="K5" s="509"/>
      <c r="L5" s="509"/>
      <c r="M5" s="509"/>
      <c r="N5" s="509"/>
      <c r="O5" s="509"/>
      <c r="P5" s="509"/>
    </row>
    <row r="6" spans="1:16" outlineLevel="1">
      <c r="A6" s="479"/>
      <c r="B6" s="477"/>
      <c r="C6" s="509"/>
      <c r="D6" s="509"/>
      <c r="E6" s="509"/>
      <c r="F6" s="509"/>
      <c r="G6" s="509"/>
      <c r="H6" s="509"/>
      <c r="I6" s="509"/>
      <c r="J6" s="509"/>
      <c r="K6" s="509"/>
      <c r="L6" s="509"/>
      <c r="M6" s="509"/>
      <c r="N6" s="509"/>
      <c r="O6" s="509"/>
      <c r="P6" s="509"/>
    </row>
    <row r="7" spans="1:16" outlineLevel="1">
      <c r="A7" s="479"/>
      <c r="B7" s="477"/>
      <c r="C7" s="509"/>
      <c r="D7" s="509"/>
      <c r="E7" s="509"/>
      <c r="F7" s="509"/>
      <c r="G7" s="509"/>
      <c r="H7" s="509"/>
      <c r="I7" s="509"/>
      <c r="J7" s="509"/>
      <c r="K7" s="509"/>
      <c r="L7" s="509"/>
      <c r="M7" s="509"/>
      <c r="N7" s="509"/>
      <c r="O7" s="509"/>
      <c r="P7" s="509"/>
    </row>
    <row r="8" spans="1:16" outlineLevel="1">
      <c r="A8" s="698"/>
      <c r="B8" s="477"/>
      <c r="C8" s="509"/>
      <c r="D8" s="509"/>
      <c r="E8" s="509"/>
      <c r="F8" s="509"/>
      <c r="G8" s="509"/>
      <c r="H8" s="509"/>
      <c r="I8" s="509"/>
      <c r="J8" s="509"/>
      <c r="K8" s="509"/>
      <c r="L8" s="509"/>
      <c r="M8" s="509"/>
      <c r="N8" s="509"/>
      <c r="O8" s="509"/>
      <c r="P8" s="509"/>
    </row>
    <row r="9" spans="1:16" outlineLevel="1">
      <c r="A9" s="479"/>
      <c r="B9" s="477"/>
      <c r="C9" s="509"/>
      <c r="D9" s="509"/>
      <c r="E9" s="509"/>
      <c r="F9" s="509"/>
      <c r="G9" s="509"/>
      <c r="H9" s="509"/>
      <c r="I9" s="509"/>
      <c r="J9" s="509"/>
      <c r="K9" s="509"/>
      <c r="L9" s="509"/>
      <c r="M9" s="509"/>
      <c r="N9" s="509"/>
      <c r="O9" s="509"/>
      <c r="P9" s="509"/>
    </row>
    <row r="10" spans="1:16" outlineLevel="1">
      <c r="A10" s="479"/>
      <c r="B10" s="477"/>
      <c r="C10" s="509"/>
      <c r="D10" s="509"/>
      <c r="E10" s="509"/>
      <c r="F10" s="509"/>
      <c r="G10" s="509"/>
      <c r="H10" s="509"/>
      <c r="I10" s="509"/>
      <c r="J10" s="509"/>
      <c r="K10" s="509"/>
      <c r="L10" s="509"/>
      <c r="M10" s="509"/>
      <c r="N10" s="509"/>
      <c r="O10" s="509"/>
      <c r="P10" s="509"/>
    </row>
    <row r="11" spans="1:16" outlineLevel="1">
      <c r="A11" s="479"/>
      <c r="B11" s="477"/>
      <c r="C11" s="509"/>
      <c r="D11" s="509"/>
      <c r="E11" s="509"/>
      <c r="F11" s="509"/>
      <c r="G11" s="509"/>
      <c r="H11" s="509"/>
      <c r="I11" s="509"/>
      <c r="J11" s="509"/>
      <c r="K11" s="509"/>
      <c r="L11" s="509"/>
      <c r="M11" s="509"/>
      <c r="N11" s="509"/>
      <c r="O11" s="509"/>
      <c r="P11" s="509"/>
    </row>
    <row r="12" spans="1:16" ht="15.75" outlineLevel="1" thickBot="1">
      <c r="A12" s="479"/>
      <c r="B12" s="477"/>
      <c r="C12" s="509"/>
      <c r="D12" s="509"/>
      <c r="E12" s="509"/>
      <c r="F12" s="509"/>
      <c r="G12" s="509"/>
      <c r="H12" s="509"/>
      <c r="I12" s="509"/>
      <c r="J12" s="509"/>
      <c r="K12" s="509"/>
      <c r="L12" s="509"/>
      <c r="M12" s="509"/>
      <c r="N12" s="509"/>
      <c r="O12" s="509"/>
      <c r="P12" s="509"/>
    </row>
    <row r="13" spans="1:16" ht="25.5" customHeight="1" outlineLevel="1" thickBot="1">
      <c r="A13" s="480" t="s">
        <v>588</v>
      </c>
      <c r="B13" s="461"/>
      <c r="C13" s="481"/>
      <c r="D13" s="481"/>
      <c r="E13" s="481"/>
      <c r="F13" s="481"/>
      <c r="G13" s="481"/>
      <c r="H13" s="481"/>
      <c r="I13" s="481"/>
      <c r="J13" s="481"/>
      <c r="K13" s="481"/>
      <c r="L13" s="481"/>
      <c r="M13" s="481"/>
      <c r="N13" s="481"/>
      <c r="O13" s="1143"/>
      <c r="P13" s="1143"/>
    </row>
    <row r="14" spans="1:16" outlineLevel="1">
      <c r="A14" s="479"/>
      <c r="B14" s="52"/>
      <c r="C14" s="509"/>
      <c r="D14" s="509"/>
      <c r="E14" s="509"/>
      <c r="F14" s="509"/>
      <c r="G14" s="509"/>
      <c r="H14" s="509"/>
      <c r="I14" s="509"/>
      <c r="J14" s="509"/>
      <c r="K14" s="509"/>
      <c r="L14" s="509"/>
      <c r="M14" s="509"/>
      <c r="N14" s="509"/>
      <c r="O14" s="509"/>
      <c r="P14" s="509"/>
    </row>
    <row r="15" spans="1:16" s="473" customFormat="1" outlineLevel="1">
      <c r="A15" s="482" t="s">
        <v>307</v>
      </c>
      <c r="B15" s="483">
        <f>SUM(B4:B12)</f>
        <v>0</v>
      </c>
      <c r="C15" s="484"/>
      <c r="D15" s="484"/>
      <c r="E15" s="484"/>
      <c r="F15" s="484"/>
      <c r="G15" s="484"/>
      <c r="H15" s="484"/>
      <c r="I15" s="484"/>
      <c r="J15" s="484"/>
      <c r="K15" s="484"/>
      <c r="L15" s="484"/>
      <c r="M15" s="484"/>
      <c r="N15" s="484"/>
      <c r="O15" s="485"/>
      <c r="P15" s="485"/>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0.20522445332795367</v>
      </c>
      <c r="C17" s="511">
        <f ca="1">'EF ele_warmte'!B22</f>
        <v>0</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c r="D19" s="488"/>
      <c r="E19" s="488"/>
      <c r="F19" s="488"/>
      <c r="G19" s="488"/>
      <c r="H19" s="488"/>
      <c r="I19" s="488"/>
      <c r="J19" s="488"/>
      <c r="K19" s="488"/>
      <c r="L19" s="488"/>
      <c r="M19" s="488"/>
      <c r="N19" s="488"/>
      <c r="O19" s="488"/>
      <c r="P19" s="48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19" t="s">
        <v>329</v>
      </c>
      <c r="B1" s="1137" t="s">
        <v>196</v>
      </c>
      <c r="C1" s="1138"/>
      <c r="D1" s="1138"/>
      <c r="E1" s="1138"/>
      <c r="F1" s="1138"/>
      <c r="G1" s="1138"/>
      <c r="H1" s="1138"/>
      <c r="I1" s="1138"/>
      <c r="J1" s="1138"/>
      <c r="K1" s="1138"/>
      <c r="L1" s="1138"/>
      <c r="M1" s="1138"/>
      <c r="N1" s="1138"/>
      <c r="O1" s="1138"/>
      <c r="P1" s="1138"/>
    </row>
    <row r="2" spans="1:16" ht="15" customHeight="1" thickTop="1">
      <c r="A2" s="1119"/>
      <c r="B2" s="1139" t="s">
        <v>21</v>
      </c>
      <c r="C2" s="1139" t="s">
        <v>197</v>
      </c>
      <c r="D2" s="1140" t="s">
        <v>198</v>
      </c>
      <c r="E2" s="1141"/>
      <c r="F2" s="1141"/>
      <c r="G2" s="1141"/>
      <c r="H2" s="1141"/>
      <c r="I2" s="1141"/>
      <c r="J2" s="1141"/>
      <c r="K2" s="1142"/>
      <c r="L2" s="1140" t="s">
        <v>199</v>
      </c>
      <c r="M2" s="1141"/>
      <c r="N2" s="1141"/>
      <c r="O2" s="1141"/>
      <c r="P2" s="1142"/>
    </row>
    <row r="3" spans="1:16" ht="56.25" customHeight="1">
      <c r="A3" s="1119"/>
      <c r="B3" s="1125"/>
      <c r="C3" s="1125"/>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c r="B4" s="477"/>
      <c r="C4" s="509"/>
      <c r="D4" s="478"/>
      <c r="E4" s="478"/>
      <c r="F4" s="509"/>
      <c r="G4" s="478"/>
      <c r="H4" s="478"/>
      <c r="I4" s="509"/>
      <c r="J4" s="509"/>
      <c r="K4" s="509"/>
      <c r="L4" s="509"/>
      <c r="M4" s="509"/>
      <c r="N4" s="509"/>
      <c r="O4" s="509"/>
      <c r="P4" s="509"/>
    </row>
    <row r="5" spans="1:16">
      <c r="B5" s="477"/>
      <c r="C5" s="52"/>
      <c r="D5" s="477"/>
      <c r="E5" s="477"/>
      <c r="F5" s="52"/>
      <c r="G5" s="477"/>
      <c r="H5" s="477"/>
      <c r="I5" s="52"/>
      <c r="J5" s="52"/>
      <c r="K5" s="52"/>
      <c r="L5" s="52"/>
      <c r="M5" s="52"/>
      <c r="N5" s="52"/>
      <c r="O5" s="52"/>
      <c r="P5" s="52"/>
    </row>
    <row r="6" spans="1:16">
      <c r="B6" s="477"/>
      <c r="C6" s="52"/>
      <c r="D6" s="477"/>
      <c r="E6" s="477"/>
      <c r="F6" s="52"/>
      <c r="G6" s="477"/>
      <c r="H6" s="477"/>
      <c r="I6" s="52"/>
      <c r="J6" s="52"/>
      <c r="K6" s="52"/>
      <c r="L6" s="52"/>
      <c r="M6" s="52"/>
      <c r="N6" s="52"/>
      <c r="O6" s="52"/>
      <c r="P6" s="52"/>
    </row>
    <row r="7" spans="1:16">
      <c r="B7" s="477"/>
      <c r="C7" s="52"/>
      <c r="D7" s="477"/>
      <c r="E7" s="477"/>
      <c r="F7" s="52"/>
      <c r="G7" s="477"/>
      <c r="H7" s="477"/>
      <c r="I7" s="52"/>
      <c r="J7" s="52"/>
      <c r="K7" s="52"/>
      <c r="L7" s="52"/>
      <c r="M7" s="52"/>
      <c r="N7" s="52"/>
      <c r="O7" s="52"/>
      <c r="P7" s="52"/>
    </row>
    <row r="8" spans="1:16">
      <c r="A8" s="473"/>
      <c r="B8" s="477"/>
      <c r="C8" s="52"/>
      <c r="D8" s="477"/>
      <c r="E8" s="477"/>
      <c r="F8" s="52"/>
      <c r="G8" s="477"/>
      <c r="H8" s="477"/>
      <c r="I8" s="52"/>
      <c r="J8" s="52"/>
      <c r="K8" s="52"/>
      <c r="L8" s="52"/>
      <c r="M8" s="52"/>
      <c r="N8" s="52"/>
      <c r="O8" s="52"/>
      <c r="P8" s="52"/>
    </row>
    <row r="9" spans="1:16">
      <c r="B9" s="477"/>
      <c r="C9" s="52"/>
      <c r="D9" s="477"/>
      <c r="E9" s="477"/>
      <c r="F9" s="52"/>
      <c r="G9" s="477"/>
      <c r="H9" s="477"/>
      <c r="I9" s="52"/>
      <c r="J9" s="52"/>
      <c r="K9" s="52"/>
      <c r="L9" s="52"/>
      <c r="M9" s="52"/>
      <c r="N9" s="52"/>
      <c r="O9" s="52"/>
      <c r="P9" s="52"/>
    </row>
    <row r="10" spans="1:16">
      <c r="B10" s="477"/>
      <c r="C10" s="52"/>
      <c r="D10" s="477"/>
      <c r="E10" s="477"/>
      <c r="F10" s="52"/>
      <c r="G10" s="477"/>
      <c r="H10" s="477"/>
      <c r="I10" s="52"/>
      <c r="J10" s="52"/>
      <c r="K10" s="52"/>
      <c r="L10" s="52"/>
      <c r="M10" s="52"/>
      <c r="N10" s="52"/>
      <c r="O10" s="52"/>
      <c r="P10" s="52"/>
    </row>
    <row r="11" spans="1:16">
      <c r="B11" s="477"/>
      <c r="C11" s="52"/>
      <c r="D11" s="477"/>
      <c r="E11" s="477"/>
      <c r="F11" s="52"/>
      <c r="G11" s="477"/>
      <c r="H11" s="477"/>
      <c r="I11" s="52"/>
      <c r="J11" s="52"/>
      <c r="K11" s="52"/>
      <c r="L11" s="52"/>
      <c r="M11" s="52"/>
      <c r="N11" s="52"/>
      <c r="O11" s="52"/>
      <c r="P11" s="52"/>
    </row>
    <row r="12" spans="1:16">
      <c r="B12" s="477"/>
      <c r="C12" s="52"/>
      <c r="D12" s="477"/>
      <c r="E12" s="477"/>
      <c r="F12" s="52"/>
      <c r="G12" s="477"/>
      <c r="H12" s="477"/>
      <c r="I12" s="52"/>
      <c r="J12" s="52"/>
      <c r="K12" s="52"/>
      <c r="L12" s="52"/>
      <c r="M12" s="52"/>
      <c r="N12" s="52"/>
      <c r="O12" s="52"/>
      <c r="P12" s="52"/>
    </row>
    <row r="13" spans="1:16">
      <c r="B13" s="477"/>
      <c r="C13" s="52"/>
      <c r="D13" s="477"/>
      <c r="E13" s="477"/>
      <c r="F13" s="52"/>
      <c r="G13" s="477"/>
      <c r="H13" s="477"/>
      <c r="I13" s="52"/>
      <c r="J13" s="52"/>
      <c r="K13" s="52"/>
      <c r="L13" s="52"/>
      <c r="M13" s="52"/>
      <c r="N13" s="52"/>
      <c r="O13" s="52"/>
      <c r="P13" s="52"/>
    </row>
    <row r="14" spans="1:16">
      <c r="B14" s="477"/>
      <c r="C14" s="52"/>
      <c r="D14" s="477"/>
      <c r="E14" s="477"/>
      <c r="F14" s="52"/>
      <c r="G14" s="477"/>
      <c r="H14" s="477"/>
      <c r="I14" s="52"/>
      <c r="J14" s="52"/>
      <c r="K14" s="52"/>
      <c r="L14" s="52"/>
      <c r="M14" s="52"/>
      <c r="N14" s="52"/>
      <c r="O14" s="52"/>
      <c r="P14" s="52"/>
    </row>
    <row r="15" spans="1:16">
      <c r="B15" s="477"/>
      <c r="C15" s="52"/>
      <c r="D15" s="477"/>
      <c r="E15" s="477"/>
      <c r="F15" s="52"/>
      <c r="G15" s="477"/>
      <c r="H15" s="477"/>
      <c r="I15" s="52"/>
      <c r="J15" s="52"/>
      <c r="K15" s="52"/>
      <c r="L15" s="52"/>
      <c r="M15" s="52"/>
      <c r="N15" s="52"/>
      <c r="O15" s="52"/>
      <c r="P15" s="52"/>
    </row>
    <row r="16" spans="1:16">
      <c r="B16" s="477"/>
      <c r="C16" s="52"/>
      <c r="D16" s="477"/>
      <c r="E16" s="477"/>
      <c r="F16" s="52"/>
      <c r="G16" s="477"/>
      <c r="H16" s="477"/>
      <c r="I16" s="52"/>
      <c r="J16" s="52"/>
      <c r="K16" s="52"/>
      <c r="L16" s="52"/>
      <c r="M16" s="52"/>
      <c r="N16" s="52"/>
      <c r="O16" s="52"/>
      <c r="P16" s="52"/>
    </row>
    <row r="17" spans="1:16">
      <c r="B17" s="477"/>
      <c r="C17" s="52"/>
      <c r="D17" s="477"/>
      <c r="E17" s="477"/>
      <c r="F17" s="52"/>
      <c r="G17" s="477"/>
      <c r="H17" s="477"/>
      <c r="I17" s="52"/>
      <c r="J17" s="52"/>
      <c r="K17" s="52"/>
      <c r="L17" s="52"/>
      <c r="M17" s="52"/>
      <c r="N17" s="52"/>
      <c r="O17" s="52"/>
      <c r="P17" s="52"/>
    </row>
    <row r="18" spans="1:16">
      <c r="B18" s="477"/>
      <c r="C18" s="52"/>
      <c r="D18" s="477"/>
      <c r="E18" s="477"/>
      <c r="F18" s="52"/>
      <c r="G18" s="477"/>
      <c r="H18" s="477"/>
      <c r="I18" s="52"/>
      <c r="J18" s="52"/>
      <c r="K18" s="52"/>
      <c r="L18" s="52"/>
      <c r="M18" s="52"/>
      <c r="N18" s="52"/>
      <c r="O18" s="52"/>
      <c r="P18" s="52"/>
    </row>
    <row r="19" spans="1:16">
      <c r="B19" s="477"/>
      <c r="C19" s="52"/>
      <c r="D19" s="477"/>
      <c r="E19" s="477"/>
      <c r="F19" s="52"/>
      <c r="G19" s="477"/>
      <c r="H19" s="477"/>
      <c r="I19" s="52"/>
      <c r="J19" s="52"/>
      <c r="K19" s="52"/>
      <c r="L19" s="52"/>
      <c r="M19" s="52"/>
      <c r="N19" s="52"/>
      <c r="O19" s="52"/>
      <c r="P19" s="52"/>
    </row>
    <row r="20" spans="1:16">
      <c r="B20" s="477"/>
      <c r="C20" s="52"/>
      <c r="D20" s="477"/>
      <c r="E20" s="477"/>
      <c r="F20" s="52"/>
      <c r="G20" s="477"/>
      <c r="H20" s="477"/>
      <c r="I20" s="52"/>
      <c r="J20" s="52"/>
      <c r="K20" s="52"/>
      <c r="L20" s="52"/>
      <c r="M20" s="52"/>
      <c r="N20" s="52"/>
      <c r="O20" s="52"/>
      <c r="P20" s="52"/>
    </row>
    <row r="21" spans="1:16">
      <c r="B21" s="477"/>
      <c r="C21" s="52"/>
      <c r="D21" s="477"/>
      <c r="E21" s="477"/>
      <c r="F21" s="52"/>
      <c r="G21" s="477"/>
      <c r="H21" s="477"/>
      <c r="I21" s="52"/>
      <c r="J21" s="52"/>
      <c r="K21" s="52"/>
      <c r="L21" s="52"/>
      <c r="M21" s="52"/>
      <c r="N21" s="52"/>
      <c r="O21" s="52"/>
      <c r="P21" s="52"/>
    </row>
    <row r="22" spans="1:16">
      <c r="B22" s="477"/>
      <c r="C22" s="52"/>
      <c r="D22" s="477"/>
      <c r="E22" s="477"/>
      <c r="F22" s="52"/>
      <c r="G22" s="477"/>
      <c r="H22" s="477"/>
      <c r="I22" s="52"/>
      <c r="J22" s="52"/>
      <c r="K22" s="52"/>
      <c r="L22" s="52"/>
      <c r="M22" s="52"/>
      <c r="N22" s="52"/>
      <c r="O22" s="52"/>
      <c r="P22" s="52"/>
    </row>
    <row r="23" spans="1:16" ht="15.75" thickBot="1">
      <c r="B23" s="477"/>
      <c r="C23" s="52"/>
      <c r="D23" s="477"/>
      <c r="E23" s="477"/>
      <c r="F23" s="52"/>
      <c r="G23" s="477"/>
      <c r="H23" s="477"/>
      <c r="I23" s="52"/>
      <c r="J23" s="52"/>
      <c r="K23" s="52"/>
      <c r="L23" s="52"/>
      <c r="M23" s="52"/>
      <c r="N23" s="52"/>
      <c r="O23" s="52"/>
      <c r="P23" s="52"/>
    </row>
    <row r="24" spans="1:16" ht="15.75" thickBot="1">
      <c r="A24" s="480" t="s">
        <v>588</v>
      </c>
    </row>
    <row r="26" spans="1:16" s="473" customFormat="1">
      <c r="A26" s="482" t="s">
        <v>538</v>
      </c>
      <c r="B26" s="482">
        <f t="shared" ref="B26:H26" si="0">SUM(B4:B23)</f>
        <v>0</v>
      </c>
      <c r="C26" s="482"/>
      <c r="D26" s="482">
        <f t="shared" si="0"/>
        <v>0</v>
      </c>
      <c r="E26" s="482">
        <f t="shared" si="0"/>
        <v>0</v>
      </c>
      <c r="F26" s="482"/>
      <c r="G26" s="482">
        <f t="shared" si="0"/>
        <v>0</v>
      </c>
      <c r="H26" s="482">
        <f t="shared" si="0"/>
        <v>0</v>
      </c>
      <c r="I26" s="482"/>
      <c r="J26" s="482"/>
      <c r="K26" s="482"/>
      <c r="L26" s="482"/>
      <c r="M26" s="482"/>
      <c r="N26" s="482"/>
      <c r="O26" s="482"/>
      <c r="P26" s="482"/>
    </row>
    <row r="27" spans="1:16" s="473" customFormat="1">
      <c r="A27" s="482" t="s">
        <v>606</v>
      </c>
      <c r="B27" s="482">
        <f>B26</f>
        <v>0</v>
      </c>
      <c r="C27" s="482"/>
      <c r="D27" s="482">
        <f>D26</f>
        <v>0</v>
      </c>
      <c r="E27" s="482">
        <f>E26</f>
        <v>0</v>
      </c>
      <c r="F27" s="482"/>
      <c r="G27" s="482">
        <f>(1-transport!C35)*'Eigen vloot'!G26</f>
        <v>0</v>
      </c>
      <c r="H27" s="482">
        <f>(1-transport!C42)*'Eigen vloot'!H26</f>
        <v>0</v>
      </c>
      <c r="I27" s="482"/>
      <c r="J27" s="482"/>
      <c r="K27" s="482"/>
      <c r="L27" s="482"/>
      <c r="M27" s="699">
        <f>G26*transport!C35+'Eigen vloot'!H26*transport!C42</f>
        <v>0</v>
      </c>
      <c r="N27" s="482"/>
      <c r="O27" s="482"/>
      <c r="P27" s="482"/>
    </row>
    <row r="29" spans="1:16">
      <c r="A29" s="487" t="s">
        <v>615</v>
      </c>
      <c r="B29" s="512">
        <f ca="1">'EF ele_warmte'!B12</f>
        <v>0.20522445332795367</v>
      </c>
      <c r="C29" s="512">
        <f ca="1">'EF ele_warmte'!B22</f>
        <v>0</v>
      </c>
      <c r="D29" s="512">
        <f>EF_CO2_aardgas</f>
        <v>0.20200000000000001</v>
      </c>
      <c r="E29" s="512">
        <f>EF_VLgas_CO2</f>
        <v>0.22700000000000001</v>
      </c>
      <c r="F29" s="512">
        <f>EF_stookolie_CO2</f>
        <v>0.26700000000000002</v>
      </c>
      <c r="G29" s="512">
        <f>EF_diesel_CO2</f>
        <v>0.26700000000000002</v>
      </c>
      <c r="H29" s="512">
        <f>EF_benzine_CO2</f>
        <v>0.249</v>
      </c>
      <c r="I29" s="512">
        <f>EF_bruinkool_CO2</f>
        <v>0.35099999999999998</v>
      </c>
      <c r="J29" s="512">
        <f>EF_steenkool_CO2</f>
        <v>0.35399999999999998</v>
      </c>
      <c r="K29" s="512">
        <f>EF_anderfossiel_CO2</f>
        <v>0.26400000000000001</v>
      </c>
      <c r="L29" s="512">
        <f>'EF brandstof'!J4</f>
        <v>0</v>
      </c>
      <c r="M29" s="512">
        <f>'EF brandstof'!K4</f>
        <v>0</v>
      </c>
      <c r="N29" s="512">
        <f>'EF brandstof'!L4</f>
        <v>0</v>
      </c>
      <c r="O29" s="512">
        <v>0</v>
      </c>
      <c r="P29" s="512">
        <v>0</v>
      </c>
    </row>
    <row r="31" spans="1:16">
      <c r="A31" s="482" t="s">
        <v>214</v>
      </c>
      <c r="B31" s="700">
        <f ca="1">B27*B29</f>
        <v>0</v>
      </c>
      <c r="C31" s="700"/>
      <c r="D31" s="700">
        <f>D27*D29</f>
        <v>0</v>
      </c>
      <c r="E31" s="700">
        <f>E27*E29</f>
        <v>0</v>
      </c>
      <c r="F31" s="700"/>
      <c r="G31" s="700">
        <f>G27*G29</f>
        <v>0</v>
      </c>
      <c r="H31" s="700">
        <f>H27*H29</f>
        <v>0</v>
      </c>
      <c r="I31" s="700"/>
      <c r="J31" s="700"/>
      <c r="K31" s="700"/>
      <c r="L31" s="700"/>
      <c r="M31" s="700">
        <f>M27*M29</f>
        <v>0</v>
      </c>
      <c r="N31" s="510"/>
      <c r="O31" s="510"/>
      <c r="P31" s="51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30</vt:i4>
      </vt:variant>
      <vt:variant>
        <vt:lpstr>Named Ranges</vt:lpstr>
      </vt:variant>
      <vt:variant>
        <vt:i4>224</vt:i4>
      </vt:variant>
    </vt:vector>
  </HeadingPairs>
  <TitlesOfParts>
    <vt:vector size="254" baseType="lpstr">
      <vt:lpstr>LEGENDE</vt:lpstr>
      <vt:lpstr>OUTPUT--&gt;</vt:lpstr>
      <vt:lpstr>SEAP template</vt:lpstr>
      <vt:lpstr>Nulmeting 2011</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2018-12-05T15:58:43Z</dcterms:modified>
</cp:coreProperties>
</file>