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B16"/>
  <c r="B78" i="14" s="1"/>
  <c r="K11" i="18"/>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I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J15" i="16" l="1"/>
  <c r="C13" i="15"/>
  <c r="C16" s="1"/>
  <c r="D10" i="14" s="1"/>
  <c r="B16" i="16"/>
  <c r="B13" i="15"/>
  <c r="F6" i="17"/>
  <c r="F8" s="1"/>
  <c r="L68" i="14"/>
  <c r="L69" s="1"/>
  <c r="C18" i="16"/>
  <c r="C8" i="48" s="1"/>
  <c r="B8" i="9"/>
  <c r="B6" i="48" s="1"/>
  <c r="Q6" s="1"/>
  <c r="C97" i="18"/>
  <c r="I100" s="1"/>
  <c r="H7" s="1"/>
  <c r="I67" i="14" s="1"/>
  <c r="F16" i="16"/>
  <c r="D13" i="15"/>
  <c r="D8" i="17"/>
  <c r="E22" i="14" s="1"/>
  <c r="O80"/>
  <c r="J8" i="18"/>
  <c r="E8" i="16"/>
  <c r="C12" i="14"/>
  <c r="R12" s="1"/>
  <c r="F19" i="19"/>
  <c r="G35" i="14" s="1"/>
  <c r="L19" i="19"/>
  <c r="M35" i="14" s="1"/>
  <c r="L12" i="13"/>
  <c r="M37" i="14" s="1"/>
  <c r="B97" i="18"/>
  <c r="H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H100" i="18"/>
  <c r="B100"/>
  <c r="C7" s="1"/>
  <c r="E9" i="14"/>
  <c r="J9"/>
  <c r="J15" s="1"/>
  <c r="N9"/>
  <c r="N15" s="1"/>
  <c r="I11" i="48"/>
  <c r="M11"/>
  <c r="M19" i="19"/>
  <c r="N35" i="14" s="1"/>
  <c r="J7" i="15"/>
  <c r="O5" i="16"/>
  <c r="B7" i="18"/>
  <c r="B67" i="14" s="1"/>
  <c r="C80"/>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C9" i="18"/>
  <c r="H9"/>
  <c r="B10" i="48"/>
  <c r="C18" i="14"/>
  <c r="P24" i="48"/>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G22" l="1"/>
  <c r="F12" i="17"/>
  <c r="G48" i="14" s="1"/>
  <c r="F7" i="48"/>
  <c r="F24" s="1"/>
  <c r="O78" i="14"/>
  <c r="K14" i="48"/>
  <c r="E101" i="18"/>
  <c r="E16" s="1"/>
  <c r="F78" i="14" s="1"/>
  <c r="P8" i="48"/>
  <c r="P25" s="1"/>
  <c r="H19" i="18"/>
  <c r="G13" i="48"/>
  <c r="G30" s="1"/>
  <c r="D101" i="18"/>
  <c r="J16" s="1"/>
  <c r="D7" i="48"/>
  <c r="D24" s="1"/>
  <c r="H17" i="14"/>
  <c r="G101" i="18"/>
  <c r="F81" i="14"/>
  <c r="G31" i="20"/>
  <c r="H43" i="14" s="1"/>
  <c r="F101" i="18"/>
  <c r="J12" i="17"/>
  <c r="K48" i="14" s="1"/>
  <c r="E100" i="18"/>
  <c r="E7" s="1"/>
  <c r="F67" i="14" s="1"/>
  <c r="F69" s="1"/>
  <c r="D100" i="18"/>
  <c r="J7" s="1"/>
  <c r="Q13" i="14"/>
  <c r="L5" i="17"/>
  <c r="L8" s="1"/>
  <c r="E19" i="18"/>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C5" i="48"/>
  <c r="K78" i="14" l="1"/>
  <c r="K81" s="1"/>
  <c r="J19" i="18"/>
  <c r="Q13" i="48"/>
  <c r="E7"/>
  <c r="E24" s="1"/>
  <c r="E13" i="14"/>
  <c r="E15" s="1"/>
  <c r="E23" s="1"/>
  <c r="E12" i="17"/>
  <c r="F48" i="14" s="1"/>
  <c r="C14" i="48"/>
  <c r="R17" i="14"/>
  <c r="E9" i="18"/>
  <c r="I16"/>
  <c r="O81" i="14"/>
  <c r="B17" i="6"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E5"/>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J78" i="14" l="1"/>
  <c r="I19" i="18"/>
  <c r="M16"/>
  <c r="M19" s="1"/>
  <c r="Q7" i="48"/>
  <c r="D14"/>
  <c r="N19" i="14"/>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J81" l="1"/>
  <c r="C78"/>
  <c r="C81" s="1"/>
  <c r="O13"/>
  <c r="O15" s="1"/>
  <c r="K13"/>
  <c r="K15" s="1"/>
  <c r="K23"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4" i="48"/>
  <c r="C28"/>
  <c r="C22"/>
  <c r="C25"/>
  <c r="C21"/>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<sst xmlns="http://schemas.openxmlformats.org/spreadsheetml/2006/main" count="2216" uniqueCount="931">
  <si>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</si>
  <si>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</si>
  <si>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</si>
  <si>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</si>
  <si>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</si>
  <si>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</si>
  <si>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</si>
  <si>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</si>
  <si>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</si>
  <si>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</si>
  <si>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</si>
  <si>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</si>
  <si>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</si>
  <si>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</si>
  <si>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</si>
  <si>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</si>
  <si>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</si>
  <si>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</si>
  <si>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</si>
  <si>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</si>
  <si>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</si>
  <si>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</si>
  <si>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</si>
  <si>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</si>
  <si>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</si>
  <si>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</si>
  <si>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</si>
  <si>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</si>
  <si>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</si>
  <si>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</si>
  <si>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</si>
  <si>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</si>
  <si>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</si>
  <si>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</si>
  <si>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</si>
  <si>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</si>
  <si>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</si>
  <si>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</si>
  <si>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</si>
  <si>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</si>
  <si>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</si>
  <si>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</si>
  <si>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</si>
  <si>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</si>
  <si>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</si>
  <si>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</si>
  <si>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</si>
  <si>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</si>
  <si>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</si>
  <si>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</si>
  <si>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</si>
  <si>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</si>
  <si>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</si>
  <si>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</si>
  <si>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</si>
  <si>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</si>
  <si>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</si>
  <si>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</si>
  <si>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</si>
  <si>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</si>
  <si>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</si>
  <si>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</si>
  <si>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</si>
  <si>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</si>
  <si>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</si>
  <si>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</si>
  <si>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</si>
  <si>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</si>
  <si>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</si>
  <si>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</si>
  <si>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</si>
  <si>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</si>
  <si>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</si>
  <si>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</si>
  <si>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</si>
  <si>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</si>
  <si>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</si>
  <si>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</si>
  <si>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</si>
  <si>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</si>
  <si>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</si>
  <si>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</si>
  <si>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</si>
  <si>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</si>
  <si>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</si>
  <si>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</si>
  <si>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</si>
  <si>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</si>
  <si>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</si>
  <si>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</si>
  <si>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</si>
  <si>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</si>
  <si>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</si>
  <si>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</si>
  <si>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</si>
  <si>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</si>
  <si>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</si>
  <si>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</si>
  <si>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</si>
  <si>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</si>
  <si>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</si>
  <si>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</si>
  <si>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</si>
  <si>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</si>
  <si>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</si>
  <si>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</si>
  <si>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</si>
  <si>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</si>
  <si>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</si>
  <si>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</si>
  <si>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</si>
  <si>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</si>
  <si>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</si>
  <si>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</si>
  <si>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</si>
  <si>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</si>
  <si>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</si>
  <si>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</si>
  <si>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</si>
  <si>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</si>
  <si>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</si>
  <si>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</si>
  <si>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</si>
  <si>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</si>
  <si>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</si>
  <si>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</si>
  <si>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</si>
  <si>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</si>
  <si>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</si>
  <si>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</si>
  <si>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</si>
  <si>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</si>
  <si>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</si>
  <si>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</si>
  <si>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</si>
  <si>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</si>
  <si>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</si>
  <si>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</si>
  <si>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</si>
  <si>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</si>
  <si>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</si>
  <si>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</si>
  <si>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</si>
  <si>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</si>
  <si>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</si>
  <si>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</si>
  <si>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</si>
  <si>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</si>
  <si>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</si>
  <si>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</si>
  <si>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</si>
  <si>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</si>
  <si>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</si>
  <si>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</si>
  <si>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</si>
  <si>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</si>
  <si>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</si>
  <si>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</si>
  <si>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</si>
  <si>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</si>
  <si>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</si>
  <si>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</si>
  <si>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</si>
  <si>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</si>
  <si>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</si>
  <si>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</si>
  <si>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</si>
  <si>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</si>
  <si>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</si>
  <si>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</si>
  <si>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</si>
  <si>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</si>
  <si>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</si>
  <si>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</si>
  <si>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</si>
  <si>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</si>
  <si>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</si>
  <si>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</si>
  <si>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</si>
  <si>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</si>
  <si>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</si>
  <si>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</si>
  <si>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</si>
  <si>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</si>
  <si>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</si>
  <si>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</si>
  <si>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</si>
  <si>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</si>
  <si>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</si>
  <si>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</si>
  <si>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</si>
  <si>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</si>
  <si>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</si>
  <si>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</si>
  <si>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</si>
  <si>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</si>
  <si>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</si>
  <si>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</si>
  <si>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</si>
  <si>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</si>
  <si>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</si>
  <si>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</si>
  <si>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</si>
  <si>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</si>
  <si>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</si>
  <si>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</si>
  <si>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</si>
  <si>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</si>
  <si>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</si>
  <si>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</si>
  <si>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</si>
  <si>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</si>
  <si>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</si>
  <si>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</si>
  <si>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</si>
  <si>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</si>
  <si>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</si>
  <si>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</si>
  <si>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</si>
  <si>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</si>
  <si>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</si>
  <si>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</si>
  <si>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</si>
  <si>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</si>
  <si>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</si>
  <si>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</si>
  <si>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</si>
  <si>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</si>
  <si>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</si>
  <si>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</si>
  <si>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</si>
  <si>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</si>
  <si>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</si>
  <si>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</si>
  <si>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</si>
  <si>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</si>
  <si>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</si>
  <si>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</si>
  <si>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</si>
  <si>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</si>
  <si>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</si>
  <si>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</si>
  <si>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</si>
  <si>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</si>
  <si>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</si>
  <si>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</si>
  <si>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</si>
  <si>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</si>
  <si>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</si>
  <si>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</si>
  <si>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</si>
  <si>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</si>
  <si>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</si>
  <si>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</si>
  <si>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</si>
  <si>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</si>
  <si>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</si>
  <si>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</si>
  <si>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</si>
  <si>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</si>
  <si>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</si>
  <si>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</si>
  <si>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</si>
  <si>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</si>
  <si>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</si>
  <si>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</si>
  <si>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</si>
  <si>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</si>
  <si>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</si>
  <si>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</si>
  <si>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</si>
  <si>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</si>
  <si>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</si>
  <si>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</si>
  <si>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</si>
  <si>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</si>
  <si>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</si>
  <si>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</si>
  <si>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</si>
  <si>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</si>
  <si>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</si>
  <si>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</si>
  <si>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</si>
  <si>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</si>
  <si>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</si>
  <si>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</si>
  <si>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</si>
  <si>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</si>
  <si>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</si>
  <si>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</si>
  <si>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</si>
  <si>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</si>
  <si>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</si>
  <si>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</si>
  <si>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</si>
  <si>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</si>
  <si>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</si>
  <si>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</si>
  <si>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</si>
  <si>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</si>
  <si>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</si>
  <si>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</si>
  <si>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</si>
  <si>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</si>
  <si>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</si>
  <si>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</si>
  <si>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</si>
  <si>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</si>
  <si>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</si>
  <si>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</si>
  <si>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</si>
  <si>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</si>
  <si>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</si>
  <si>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</si>
  <si>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</si>
  <si>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</si>
  <si>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</si>
  <si>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</si>
  <si>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</si>
  <si>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</si>
  <si>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</si>
  <si>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</si>
  <si>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</si>
  <si>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</si>
  <si>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</si>
  <si>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</si>
  <si>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</si>
  <si>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</si>
  <si>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</si>
  <si>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</si>
  <si>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</si>
  <si>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</si>
  <si>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</si>
  <si>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</si>
  <si>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</si>
  <si>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</si>
  <si>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</si>
  <si>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</si>
  <si>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</si>
  <si>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</si>
  <si>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</si>
  <si>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</si>
  <si>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</si>
  <si>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</si>
  <si>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</si>
  <si>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</si>
  <si>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</si>
  <si>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</si>
  <si>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</si>
  <si>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</si>
  <si>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</si>
  <si>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</si>
  <si>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</si>
  <si>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</si>
  <si>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</si>
  <si>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</si>
  <si>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</si>
  <si>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</si>
  <si>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</si>
  <si>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</si>
  <si>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</si>
  <si>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</si>
  <si>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</si>
  <si>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</si>
  <si>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</si>
  <si>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</si>
  <si>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</si>
  <si>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</si>
  <si>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</si>
  <si>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</si>
  <si>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</si>
  <si>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</si>
  <si>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</si>
  <si>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</si>
  <si>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</si>
  <si>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</si>
  <si>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</si>
  <si>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</si>
  <si>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</si>
  <si>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</si>
  <si>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</si>
  <si>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</si>
  <si>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</si>
  <si>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</si>
  <si>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</si>
  <si>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</si>
  <si>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</si>
  <si>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</si>
  <si>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</si>
  <si>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</si>
  <si>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</si>
  <si>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</si>
  <si>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</si>
  <si>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</si>
  <si>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</si>
  <si>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</si>
  <si>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</si>
  <si>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</si>
  <si>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</si>
  <si>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</si>
  <si>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</si>
  <si>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</si>
  <si>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</si>
  <si>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</si>
  <si>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</si>
  <si>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</si>
  <si>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</si>
  <si>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</si>
  <si>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</si>
  <si>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</si>
  <si>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</si>
  <si>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</si>
  <si>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</si>
  <si>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</si>
  <si>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</si>
  <si>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</si>
  <si>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</si>
  <si>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</si>
  <si>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</si>
  <si>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</si>
  <si>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</si>
  <si>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</si>
  <si>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</si>
  <si>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</si>
  <si>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</si>
  <si>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</si>
  <si>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</si>
  <si>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</si>
  <si>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</si>
  <si>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</si>
  <si>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</si>
  <si>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</si>
  <si>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</si>
  <si>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</si>
  <si>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</si>
  <si>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</si>
  <si>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</si>
  <si>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</si>
  <si>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</si>
  <si>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</si>
  <si>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</si>
  <si>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</si>
  <si>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</si>
  <si>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</si>
  <si>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</si>
  <si>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</si>
  <si>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</si>
  <si>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</si>
  <si>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</si>
  <si>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</si>
  <si>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</si>
  <si>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</si>
  <si>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</si>
  <si>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</si>
  <si>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</si>
  <si>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</si>
  <si>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</si>
  <si>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</si>
  <si>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</si>
  <si>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</si>
  <si>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</si>
  <si>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</si>
  <si>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</si>
  <si>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</si>
  <si>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</si>
  <si>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</si>
  <si>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</si>
  <si>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</si>
  <si>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</si>
  <si>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</si>
  <si>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</si>
  <si>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</si>
  <si>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</si>
  <si>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</si>
  <si>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</si>
  <si>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</si>
  <si>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</si>
  <si>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</si>
  <si>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</si>
  <si>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</si>
  <si>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</si>
  <si>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</si>
  <si>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</si>
  <si>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</si>
  <si>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</si>
  <si>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</si>
  <si>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</si>
  <si>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</si>
  <si>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</si>
  <si>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</si>
  <si>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</si>
  <si>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</si>
  <si>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</si>
  <si>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</si>
  <si>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</si>
  <si>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</si>
  <si>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</si>
  <si>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</si>
  <si>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</si>
  <si>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</si>
  <si>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</si>
  <si>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</si>
  <si>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</si>
  <si>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</si>
  <si>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</si>
  <si>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</si>
  <si>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</si>
  <si>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</si>
  <si>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</si>
  <si>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</si>
  <si>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</si>
  <si>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</si>
  <si>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</si>
  <si>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</si>
  <si>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</si>
  <si>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</si>
  <si>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</si>
  <si>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</si>
  <si>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</si>
  <si>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</si>
  <si>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</si>
  <si>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</si>
  <si>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</si>
  <si>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</si>
  <si>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</si>
  <si>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</si>
  <si>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</si>
  <si>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</si>
  <si>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</si>
  <si>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</si>
  <si>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</si>
  <si>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</si>
  <si>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</si>
  <si>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</si>
  <si>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</si>
  <si>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</si>
  <si>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</si>
  <si>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</si>
  <si>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</si>
  <si>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</si>
  <si>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</si>
  <si>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</si>
  <si>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</si>
  <si>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</si>
  <si>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</si>
  <si>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</si>
  <si>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</si>
  <si>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</si>
  <si>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</si>
  <si>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</si>
  <si>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</si>
  <si>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</si>
  <si>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</si>
  <si>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</si>
  <si>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</si>
  <si>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</si>
  <si>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</si>
  <si>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</si>
  <si>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</si>
  <si>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</si>
  <si>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</si>
  <si>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</si>
  <si>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</si>
  <si>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</si>
  <si>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</si>
  <si>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</si>
  <si>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</si>
  <si>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</si>
  <si>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</si>
  <si>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</si>
  <si>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</si>
  <si>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</si>
  <si>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</si>
  <si>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</si>
  <si>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</si>
  <si>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</si>
  <si>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</si>
  <si>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</si>
  <si>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</si>
  <si>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</si>
  <si>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</si>
  <si>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</si>
  <si>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</si>
  <si>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</si>
  <si>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</si>
  <si>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</si>
  <si>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</si>
  <si>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</si>
  <si>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</si>
  <si>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</si>
  <si>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</si>
  <si>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</si>
  <si>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</si>
  <si>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</si>
  <si>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</si>
  <si>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</si>
  <si>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</si>
  <si>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</si>
  <si>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</si>
  <si>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</si>
  <si>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</si>
  <si>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</si>
  <si>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</si>
  <si>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</si>
  <si>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</si>
  <si>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</si>
  <si>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</si>
  <si>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</si>
  <si>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</si>
  <si>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</si>
  <si>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</si>
  <si>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</si>
  <si>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</si>
  <si>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</si>
  <si>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</si>
  <si>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</si>
  <si>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</si>
  <si>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</si>
  <si>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</si>
  <si>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</si>
  <si>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</si>
  <si>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</si>
  <si>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</si>
  <si>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</si>
  <si>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</si>
  <si>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</si>
  <si>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</si>
  <si>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</si>
  <si>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</si>
  <si>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</si>
  <si>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</si>
  <si>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</si>
  <si>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</si>
  <si>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</si>
  <si>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</si>
  <si>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</si>
  <si>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</si>
  <si>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</si>
  <si>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</si>
  <si>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</si>
  <si>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</si>
  <si>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</si>
  <si>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</si>
  <si>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</si>
  <si>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</si>
  <si>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</si>
  <si>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</si>
  <si>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</si>
  <si>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</si>
  <si>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</si>
  <si>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</si>
  <si>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</si>
  <si>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</si>
  <si>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</si>
  <si>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</si>
  <si>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</si>
  <si>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</si>
  <si>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</si>
  <si>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</si>
  <si>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</si>
  <si>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</si>
  <si>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</si>
  <si>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</si>
  <si>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</si>
  <si>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</si>
  <si>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</si>
  <si>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</si>
  <si>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</si>
  <si>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</si>
  <si>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</si>
  <si>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</si>
  <si>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</si>
  <si>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</si>
  <si>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</si>
  <si>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</si>
  <si>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</si>
  <si>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</si>
  <si>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</si>
  <si>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</si>
  <si>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</si>
  <si>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</si>
  <si>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</si>
  <si>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</si>
  <si>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</si>
  <si>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</si>
  <si>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</si>
  <si>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</si>
  <si>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</si>
  <si>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</si>
  <si>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</si>
  <si>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</si>
  <si>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</si>
  <si>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</si>
  <si>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</si>
  <si>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</si>
  <si>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</si>
  <si>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</si>
  <si>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</si>
  <si>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</si>
  <si>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</si>
  <si>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</si>
  <si>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</si>
  <si>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</si>
  <si>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</si>
  <si>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</si>
  <si>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</si>
  <si>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</si>
  <si>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</si>
  <si>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</si>
  <si>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</si>
  <si>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</si>
  <si>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</si>
  <si>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</si>
  <si>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</si>
  <si>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</si>
  <si>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</si>
  <si>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</si>
  <si>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</si>
  <si>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</si>
  <si>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</si>
  <si>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</si>
  <si>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</si>
  <si>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</si>
  <si>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</si>
  <si>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</si>
  <si>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</si>
  <si>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</si>
  <si>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</si>
  <si>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</si>
  <si>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</si>
  <si>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</si>
  <si>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</si>
  <si>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</si>
  <si>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</si>
  <si>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</si>
  <si>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</si>
  <si>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</si>
  <si>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</si>
  <si>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</si>
  <si>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</si>
  <si>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</si>
  <si>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</si>
  <si>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</si>
  <si>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</si>
  <si>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</si>
  <si>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</si>
  <si>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</si>
  <si>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</si>
  <si>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</si>
  <si>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</si>
  <si>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</si>
  <si>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</si>
  <si>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</si>
  <si>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</si>
  <si>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</si>
  <si>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</si>
  <si>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</si>
  <si>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</si>
  <si>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</si>
  <si>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</si>
  <si>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</si>
  <si>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</si>
  <si>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</si>
  <si>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</si>
  <si>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</si>
  <si>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</si>
  <si>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</si>
  <si>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</si>
  <si>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</si>
  <si>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</si>
  <si>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</si>
  <si>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</si>
  <si>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</si>
  <si>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</si>
  <si>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</si>
  <si>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</si>
  <si>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</si>
  <si>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</si>
  <si>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</si>
  <si>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</si>
  <si>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</si>
  <si>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</si>
  <si>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</si>
  <si>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</si>
  <si>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</si>
  <si>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</si>
  <si>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</si>
  <si>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</si>
  <si>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</si>
  <si>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</si>
  <si>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</si>
  <si>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</si>
  <si>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</si>
  <si>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</si>
  <si>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</si>
  <si>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</si>
  <si>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</si>
  <si>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</si>
  <si>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</si>
  <si>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</si>
  <si>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</si>
  <si>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</si>
  <si>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</si>
  <si>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</si>
  <si>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</si>
  <si>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</si>
  <si>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</si>
  <si>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</si>
  <si>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</si>
  <si>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</si>
  <si>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</si>
  <si>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</si>
  <si>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</si>
  <si>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</si>
  <si>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</si>
  <si>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</si>
  <si>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</si>
  <si>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</si>
  <si>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</si>
  <si>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</si>
  <si>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</si>
  <si>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</si>
  <si>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</si>
  <si>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</si>
  <si>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</si>
  <si>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</si>
  <si>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</si>
  <si>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</si>
  <si>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</si>
  <si>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</si>
  <si>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</si>
  <si>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</si>
  <si>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</si>
  <si>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</si>
  <si>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</si>
  <si>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</si>
  <si>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</si>
  <si>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</si>
  <si>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</si>
  <si>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</si>
  <si>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</si>
  <si>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</si>
  <si>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</si>
  <si>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</si>
  <si>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</si>
  <si>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</si>
  <si>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</si>
  <si>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</si>
  <si>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</si>
  <si>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</si>
  <si>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</si>
  <si>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</si>
  <si>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</si>
  <si>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</si>
  <si>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</si>
  <si>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</si>
  <si>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</si>
  <si>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</si>
  <si>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</si>
  <si>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</si>
  <si>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</si>
  <si>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</si>
  <si>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</si>
  <si>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</si>
  <si>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</si>
  <si>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</si>
  <si>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</si>
  <si>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</si>
  <si>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</si>
  <si>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</si>
  <si>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</si>
  <si>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</si>
  <si>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</si>
  <si>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</si>
  <si>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</si>
  <si>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</si>
  <si>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</si>
  <si>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</si>
  <si>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</si>
  <si>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</si>
  <si>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</si>
  <si>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</si>
  <si>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</si>
  <si>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</si>
  <si>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</si>
  <si>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</si>
  <si>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</si>
  <si>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</si>
  <si>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</si>
  <si>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</si>
  <si>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</si>
  <si>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</si>
  <si>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</si>
  <si>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</si>
  <si>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</si>
  <si>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</si>
  <si>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</si>
  <si>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</si>
  <si>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</si>
  <si>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</si>
  <si>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</si>
  <si>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</si>
  <si>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</si>
  <si>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</si>
  <si>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</si>
  <si>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</si>
  <si>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</si>
  <si>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</si>
  <si>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</si>
  <si>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</si>
  <si>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</si>
  <si>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</si>
  <si>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</si>
  <si>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</si>
  <si>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</si>
  <si>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</si>
  <si>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</si>
  <si>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</si>
  <si>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</si>
  <si>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</si>
  <si>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</si>
  <si>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</si>
  <si>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44036</t>
  </si>
  <si>
    <t>LOVENDEGEM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</si>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</sst>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44036</v>
      </c>
      <c r="B6" s="396"/>
      <c r="C6" s="397"/>
    </row>
    <row r="7" spans="1:7" s="394" customFormat="1" ht="15.75" customHeight="1">
      <c r="A7" s="398" t="str">
        <f>txtMunicipality</f>
        <v>LOVENDEGEM</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44036</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3893</v>
      </c>
      <c r="C9" s="336">
        <v>4121</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1058</v>
      </c>
    </row>
    <row r="15" spans="1:6">
      <c r="A15" s="1251" t="s">
        <v>185</v>
      </c>
      <c r="B15" s="333">
        <v>15</v>
      </c>
    </row>
    <row r="16" spans="1:6">
      <c r="A16" s="1251" t="s">
        <v>6</v>
      </c>
      <c r="B16" s="333">
        <v>656</v>
      </c>
    </row>
    <row r="17" spans="1:6">
      <c r="A17" s="1251" t="s">
        <v>7</v>
      </c>
      <c r="B17" s="333">
        <v>295</v>
      </c>
    </row>
    <row r="18" spans="1:6">
      <c r="A18" s="1251" t="s">
        <v>8</v>
      </c>
      <c r="B18" s="333">
        <v>621</v>
      </c>
    </row>
    <row r="19" spans="1:6">
      <c r="A19" s="1251" t="s">
        <v>9</v>
      </c>
      <c r="B19" s="333">
        <v>626</v>
      </c>
    </row>
    <row r="20" spans="1:6">
      <c r="A20" s="1251" t="s">
        <v>10</v>
      </c>
      <c r="B20" s="333">
        <v>462</v>
      </c>
    </row>
    <row r="21" spans="1:6">
      <c r="A21" s="1251" t="s">
        <v>11</v>
      </c>
      <c r="B21" s="333">
        <v>7409</v>
      </c>
    </row>
    <row r="22" spans="1:6">
      <c r="A22" s="1251" t="s">
        <v>12</v>
      </c>
      <c r="B22" s="333">
        <v>7749</v>
      </c>
    </row>
    <row r="23" spans="1:6">
      <c r="A23" s="1251" t="s">
        <v>13</v>
      </c>
      <c r="B23" s="333">
        <v>307</v>
      </c>
    </row>
    <row r="24" spans="1:6">
      <c r="A24" s="1251" t="s">
        <v>14</v>
      </c>
      <c r="B24" s="333">
        <v>14</v>
      </c>
    </row>
    <row r="25" spans="1:6">
      <c r="A25" s="1251" t="s">
        <v>15</v>
      </c>
      <c r="B25" s="333">
        <v>1527</v>
      </c>
    </row>
    <row r="26" spans="1:6">
      <c r="A26" s="1251" t="s">
        <v>16</v>
      </c>
      <c r="B26" s="333">
        <v>39</v>
      </c>
    </row>
    <row r="27" spans="1:6">
      <c r="A27" s="1251" t="s">
        <v>17</v>
      </c>
      <c r="B27" s="333">
        <v>0</v>
      </c>
    </row>
    <row r="28" spans="1:6">
      <c r="A28" s="1251" t="s">
        <v>18</v>
      </c>
      <c r="B28" s="333">
        <v>120</v>
      </c>
    </row>
    <row r="29" spans="1:6">
      <c r="A29" s="1251" t="s">
        <v>925</v>
      </c>
      <c r="B29" s="333">
        <v>10</v>
      </c>
    </row>
    <row r="30" spans="1:6">
      <c r="A30" s="1247" t="s">
        <v>926</v>
      </c>
      <c r="B30" s="1247">
        <v>5</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1</v>
      </c>
      <c r="F38" s="333">
        <v>5304.3514437405001</v>
      </c>
    </row>
    <row r="39" spans="1:6">
      <c r="A39" s="1251" t="s">
        <v>30</v>
      </c>
      <c r="B39" s="1251" t="s">
        <v>31</v>
      </c>
      <c r="C39" s="333">
        <v>1678</v>
      </c>
      <c r="D39" s="333">
        <v>28566215.225325301</v>
      </c>
      <c r="E39" s="333">
        <v>3638</v>
      </c>
      <c r="F39" s="333">
        <v>20004494.645546801</v>
      </c>
    </row>
    <row r="40" spans="1:6">
      <c r="A40" s="1251" t="s">
        <v>30</v>
      </c>
      <c r="B40" s="1251" t="s">
        <v>29</v>
      </c>
      <c r="C40" s="333">
        <v>0</v>
      </c>
      <c r="D40" s="333">
        <v>0</v>
      </c>
      <c r="E40" s="333">
        <v>0</v>
      </c>
      <c r="F40" s="333">
        <v>0</v>
      </c>
    </row>
    <row r="41" spans="1:6">
      <c r="A41" s="1251" t="s">
        <v>32</v>
      </c>
      <c r="B41" s="1251" t="s">
        <v>33</v>
      </c>
      <c r="C41" s="333">
        <v>19</v>
      </c>
      <c r="D41" s="333">
        <v>464148.541198797</v>
      </c>
      <c r="E41" s="333">
        <v>49</v>
      </c>
      <c r="F41" s="333">
        <v>489079.87683923199</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3</v>
      </c>
      <c r="F44" s="333">
        <v>11032.938487019501</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5</v>
      </c>
      <c r="F47" s="333">
        <v>151405.28674325699</v>
      </c>
    </row>
    <row r="48" spans="1:6">
      <c r="A48" s="1251" t="s">
        <v>32</v>
      </c>
      <c r="B48" s="1251" t="s">
        <v>29</v>
      </c>
      <c r="C48" s="333">
        <v>17</v>
      </c>
      <c r="D48" s="333">
        <v>326257.72225873201</v>
      </c>
      <c r="E48" s="333">
        <v>29</v>
      </c>
      <c r="F48" s="333">
        <v>376676.83101201197</v>
      </c>
    </row>
    <row r="49" spans="1:6">
      <c r="A49" s="1251" t="s">
        <v>32</v>
      </c>
      <c r="B49" s="1251" t="s">
        <v>40</v>
      </c>
      <c r="C49" s="333">
        <v>0</v>
      </c>
      <c r="D49" s="333">
        <v>0</v>
      </c>
      <c r="E49" s="333">
        <v>0</v>
      </c>
      <c r="F49" s="333">
        <v>0</v>
      </c>
    </row>
    <row r="50" spans="1:6">
      <c r="A50" s="1251" t="s">
        <v>32</v>
      </c>
      <c r="B50" s="1251" t="s">
        <v>41</v>
      </c>
      <c r="C50" s="333">
        <v>3</v>
      </c>
      <c r="D50" s="333">
        <v>7678679.6968796896</v>
      </c>
      <c r="E50" s="333">
        <v>8</v>
      </c>
      <c r="F50" s="333">
        <v>8614108.1493807603</v>
      </c>
    </row>
    <row r="51" spans="1:6">
      <c r="A51" s="1251" t="s">
        <v>42</v>
      </c>
      <c r="B51" s="1251" t="s">
        <v>43</v>
      </c>
      <c r="C51" s="333">
        <v>0</v>
      </c>
      <c r="D51" s="333">
        <v>0</v>
      </c>
      <c r="E51" s="333">
        <v>61</v>
      </c>
      <c r="F51" s="333">
        <v>1144706.48660543</v>
      </c>
    </row>
    <row r="52" spans="1:6">
      <c r="A52" s="1251" t="s">
        <v>42</v>
      </c>
      <c r="B52" s="1251" t="s">
        <v>29</v>
      </c>
      <c r="C52" s="333">
        <v>7</v>
      </c>
      <c r="D52" s="333">
        <v>169793.86702171099</v>
      </c>
      <c r="E52" s="333">
        <v>7</v>
      </c>
      <c r="F52" s="333">
        <v>92730.970390874398</v>
      </c>
    </row>
    <row r="53" spans="1:6">
      <c r="A53" s="1251" t="s">
        <v>44</v>
      </c>
      <c r="B53" s="1251" t="s">
        <v>45</v>
      </c>
      <c r="C53" s="333">
        <v>50</v>
      </c>
      <c r="D53" s="333">
        <v>946128.48784575495</v>
      </c>
      <c r="E53" s="333">
        <v>113</v>
      </c>
      <c r="F53" s="333">
        <v>613993.836451335</v>
      </c>
    </row>
    <row r="54" spans="1:6">
      <c r="A54" s="1251" t="s">
        <v>46</v>
      </c>
      <c r="B54" s="1251" t="s">
        <v>47</v>
      </c>
      <c r="C54" s="333">
        <v>0</v>
      </c>
      <c r="D54" s="333">
        <v>0</v>
      </c>
      <c r="E54" s="333">
        <v>2</v>
      </c>
      <c r="F54" s="333">
        <v>843743</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6</v>
      </c>
      <c r="D57" s="333">
        <v>143399.75988940601</v>
      </c>
      <c r="E57" s="333">
        <v>72</v>
      </c>
      <c r="F57" s="333">
        <v>757600.06097225705</v>
      </c>
    </row>
    <row r="58" spans="1:6">
      <c r="A58" s="1251" t="s">
        <v>49</v>
      </c>
      <c r="B58" s="1251" t="s">
        <v>51</v>
      </c>
      <c r="C58" s="333">
        <v>12</v>
      </c>
      <c r="D58" s="333">
        <v>4244241.3891355703</v>
      </c>
      <c r="E58" s="333">
        <v>16</v>
      </c>
      <c r="F58" s="333">
        <v>392992.10946454998</v>
      </c>
    </row>
    <row r="59" spans="1:6">
      <c r="A59" s="1251" t="s">
        <v>49</v>
      </c>
      <c r="B59" s="1251" t="s">
        <v>52</v>
      </c>
      <c r="C59" s="333">
        <v>15</v>
      </c>
      <c r="D59" s="333">
        <v>442586.21848704497</v>
      </c>
      <c r="E59" s="333">
        <v>74</v>
      </c>
      <c r="F59" s="333">
        <v>2364424.2192764701</v>
      </c>
    </row>
    <row r="60" spans="1:6">
      <c r="A60" s="1251" t="s">
        <v>49</v>
      </c>
      <c r="B60" s="1251" t="s">
        <v>53</v>
      </c>
      <c r="C60" s="333">
        <v>20</v>
      </c>
      <c r="D60" s="333">
        <v>923514.75067045598</v>
      </c>
      <c r="E60" s="333">
        <v>32</v>
      </c>
      <c r="F60" s="333">
        <v>694998.12289941299</v>
      </c>
    </row>
    <row r="61" spans="1:6">
      <c r="A61" s="1251" t="s">
        <v>49</v>
      </c>
      <c r="B61" s="1251" t="s">
        <v>54</v>
      </c>
      <c r="C61" s="333">
        <v>59</v>
      </c>
      <c r="D61" s="333">
        <v>2594073.58832685</v>
      </c>
      <c r="E61" s="333">
        <v>110</v>
      </c>
      <c r="F61" s="333">
        <v>1373345.5905460999</v>
      </c>
    </row>
    <row r="62" spans="1:6">
      <c r="A62" s="1251" t="s">
        <v>49</v>
      </c>
      <c r="B62" s="1251" t="s">
        <v>55</v>
      </c>
      <c r="C62" s="333">
        <v>0</v>
      </c>
      <c r="D62" s="333">
        <v>0</v>
      </c>
      <c r="E62" s="333">
        <v>0</v>
      </c>
      <c r="F62" s="333">
        <v>0</v>
      </c>
    </row>
    <row r="63" spans="1:6">
      <c r="A63" s="1251" t="s">
        <v>49</v>
      </c>
      <c r="B63" s="1251" t="s">
        <v>29</v>
      </c>
      <c r="C63" s="333">
        <v>84</v>
      </c>
      <c r="D63" s="333">
        <v>3215043.5082303202</v>
      </c>
      <c r="E63" s="333">
        <v>121</v>
      </c>
      <c r="F63" s="333">
        <v>2302868.2322874502</v>
      </c>
    </row>
    <row r="64" spans="1:6">
      <c r="A64" s="1251" t="s">
        <v>56</v>
      </c>
      <c r="B64" s="1251" t="s">
        <v>57</v>
      </c>
      <c r="C64" s="333">
        <v>0</v>
      </c>
      <c r="D64" s="333">
        <v>0</v>
      </c>
      <c r="E64" s="333">
        <v>0</v>
      </c>
      <c r="F64" s="333">
        <v>0</v>
      </c>
    </row>
    <row r="65" spans="1:6">
      <c r="A65" s="1251" t="s">
        <v>56</v>
      </c>
      <c r="B65" s="1251" t="s">
        <v>29</v>
      </c>
      <c r="C65" s="333">
        <v>4</v>
      </c>
      <c r="D65" s="333">
        <v>146468.23519634499</v>
      </c>
      <c r="E65" s="333">
        <v>4</v>
      </c>
      <c r="F65" s="333">
        <v>61370.064807548297</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0</v>
      </c>
      <c r="F68" s="333">
        <v>0</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32547863</v>
      </c>
      <c r="E73" s="333">
        <v>32951842.957791589</v>
      </c>
      <c r="F73" s="333">
        <v>30900249</v>
      </c>
    </row>
    <row r="74" spans="1:6">
      <c r="A74" s="1251" t="s">
        <v>64</v>
      </c>
      <c r="B74" s="1251" t="s">
        <v>775</v>
      </c>
      <c r="C74" s="1262" t="s">
        <v>776</v>
      </c>
      <c r="D74" s="333">
        <v>5500227.4386109877</v>
      </c>
      <c r="E74" s="333">
        <v>5695245.3789977878</v>
      </c>
      <c r="F74" s="333">
        <v>4978221.0452984516</v>
      </c>
    </row>
    <row r="75" spans="1:6">
      <c r="A75" s="1251" t="s">
        <v>65</v>
      </c>
      <c r="B75" s="1251" t="s">
        <v>773</v>
      </c>
      <c r="C75" s="1262" t="s">
        <v>777</v>
      </c>
      <c r="D75" s="333">
        <v>34643295</v>
      </c>
      <c r="E75" s="333">
        <v>35093638.673604921</v>
      </c>
      <c r="F75" s="333">
        <v>33134739</v>
      </c>
    </row>
    <row r="76" spans="1:6">
      <c r="A76" s="1251" t="s">
        <v>65</v>
      </c>
      <c r="B76" s="1251" t="s">
        <v>775</v>
      </c>
      <c r="C76" s="1262" t="s">
        <v>778</v>
      </c>
      <c r="D76" s="333">
        <v>2315393.4386109877</v>
      </c>
      <c r="E76" s="333">
        <v>2387828.1199674876</v>
      </c>
      <c r="F76" s="333">
        <v>2105389.0452984516</v>
      </c>
    </row>
    <row r="77" spans="1:6">
      <c r="A77" s="1251" t="s">
        <v>66</v>
      </c>
      <c r="B77" s="1251" t="s">
        <v>773</v>
      </c>
      <c r="C77" s="1262" t="s">
        <v>779</v>
      </c>
      <c r="D77" s="333">
        <v>8889287</v>
      </c>
      <c r="E77" s="333">
        <v>8824266.4107522685</v>
      </c>
      <c r="F77" s="333">
        <v>9612455</v>
      </c>
    </row>
    <row r="78" spans="1:6">
      <c r="A78" s="1247" t="s">
        <v>66</v>
      </c>
      <c r="B78" s="1247" t="s">
        <v>775</v>
      </c>
      <c r="C78" s="1247" t="s">
        <v>780</v>
      </c>
      <c r="D78" s="1247">
        <v>1223784</v>
      </c>
      <c r="E78" s="1247">
        <v>1101738.1578515139</v>
      </c>
      <c r="F78" s="336">
        <v>1191022</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181901.12277802452</v>
      </c>
      <c r="C83" s="333">
        <v>166189.91246158289</v>
      </c>
      <c r="D83" s="333">
        <v>163795.90940309703</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1031.4505005036692</v>
      </c>
    </row>
    <row r="92" spans="1:6">
      <c r="A92" s="1247" t="s">
        <v>69</v>
      </c>
      <c r="B92" s="336">
        <v>303.08602352308696</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868</v>
      </c>
    </row>
    <row r="98" spans="1:6">
      <c r="A98" s="1251" t="s">
        <v>72</v>
      </c>
      <c r="B98" s="333">
        <v>0</v>
      </c>
    </row>
    <row r="99" spans="1:6">
      <c r="A99" s="1251" t="s">
        <v>73</v>
      </c>
      <c r="B99" s="333">
        <v>53</v>
      </c>
    </row>
    <row r="100" spans="1:6">
      <c r="A100" s="1251" t="s">
        <v>74</v>
      </c>
      <c r="B100" s="333">
        <v>559</v>
      </c>
    </row>
    <row r="101" spans="1:6">
      <c r="A101" s="1251" t="s">
        <v>75</v>
      </c>
      <c r="B101" s="333">
        <v>80</v>
      </c>
    </row>
    <row r="102" spans="1:6">
      <c r="A102" s="1251" t="s">
        <v>76</v>
      </c>
      <c r="B102" s="333">
        <v>63</v>
      </c>
    </row>
    <row r="103" spans="1:6">
      <c r="A103" s="1251" t="s">
        <v>77</v>
      </c>
      <c r="B103" s="333">
        <v>79</v>
      </c>
    </row>
    <row r="104" spans="1:6">
      <c r="A104" s="1251" t="s">
        <v>78</v>
      </c>
      <c r="B104" s="333">
        <v>1830</v>
      </c>
    </row>
    <row r="105" spans="1:6">
      <c r="A105" s="1247" t="s">
        <v>79</v>
      </c>
      <c r="B105" s="1247">
        <v>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7</v>
      </c>
      <c r="C123" s="333">
        <v>2</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37</v>
      </c>
    </row>
    <row r="130" spans="1:6">
      <c r="A130" s="1251" t="s">
        <v>296</v>
      </c>
      <c r="B130" s="333">
        <v>0</v>
      </c>
    </row>
    <row r="131" spans="1:6">
      <c r="A131" s="1251" t="s">
        <v>297</v>
      </c>
      <c r="B131" s="333">
        <v>1</v>
      </c>
    </row>
    <row r="132" spans="1:6">
      <c r="A132" s="1247" t="s">
        <v>298</v>
      </c>
      <c r="B132" s="336">
        <v>2</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40646.264449382543</v>
      </c>
      <c r="C3" s="43" t="s">
        <v>171</v>
      </c>
      <c r="D3" s="43"/>
      <c r="E3" s="156"/>
      <c r="F3" s="43"/>
      <c r="G3" s="43"/>
      <c r="H3" s="43"/>
      <c r="I3" s="43"/>
      <c r="J3" s="43"/>
      <c r="K3" s="96"/>
    </row>
    <row r="4" spans="1:11">
      <c r="A4" s="364" t="s">
        <v>172</v>
      </c>
      <c r="B4" s="49">
        <f>IF(ISERROR('SEAP template'!B69),0,'SEAP template'!B69)</f>
        <v>1334.5365240267561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0.21374391937844134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843.74300000000005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843.74300000000005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0.21374391937844134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180.34493576812423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20004.494645546802</v>
      </c>
      <c r="C5" s="17">
        <f>IF(ISERROR('Eigen informatie GS &amp; warmtenet'!B57),0,'Eigen informatie GS &amp; warmtenet'!B57)</f>
        <v>0</v>
      </c>
      <c r="D5" s="30">
        <f>(SUM(HH_hh_gas_kWh,HH_rest_gas_kWh)/1000)*0.902</f>
        <v>25766.726133243421</v>
      </c>
      <c r="E5" s="17">
        <f>B46*B57</f>
        <v>1740.8430585237134</v>
      </c>
      <c r="F5" s="17">
        <f>B51*B62</f>
        <v>25105.118552560074</v>
      </c>
      <c r="G5" s="18"/>
      <c r="H5" s="17"/>
      <c r="I5" s="17"/>
      <c r="J5" s="17">
        <f>B50*B61+C50*C61</f>
        <v>0</v>
      </c>
      <c r="K5" s="17"/>
      <c r="L5" s="17"/>
      <c r="M5" s="17"/>
      <c r="N5" s="17">
        <f>B48*B59+C48*C59</f>
        <v>7602.801267135208</v>
      </c>
      <c r="O5" s="17">
        <f>B69*B70*B71</f>
        <v>60.970000000000006</v>
      </c>
      <c r="P5" s="17">
        <f>B77*B78*B79/1000-B77*B78*B79/1000/B80</f>
        <v>171.6</v>
      </c>
    </row>
    <row r="6" spans="1:16">
      <c r="A6" s="16" t="s">
        <v>633</v>
      </c>
      <c r="B6" s="830">
        <f>kWh_PV_kleiner_dan_10kW</f>
        <v>1031.4505005036692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21035.945146050472</v>
      </c>
      <c r="C8" s="21">
        <f>C5</f>
        <v>0</v>
      </c>
      <c r="D8" s="21">
        <f>D5</f>
        <v>25766.726133243421</v>
      </c>
      <c r="E8" s="21">
        <f>E5</f>
        <v>1740.8430585237134</v>
      </c>
      <c r="F8" s="21">
        <f>F5</f>
        <v>25105.118552560074</v>
      </c>
      <c r="G8" s="21"/>
      <c r="H8" s="21"/>
      <c r="I8" s="21"/>
      <c r="J8" s="21">
        <f>J5</f>
        <v>0</v>
      </c>
      <c r="K8" s="21"/>
      <c r="L8" s="21">
        <f>L5</f>
        <v>0</v>
      </c>
      <c r="M8" s="21">
        <f>M5</f>
        <v>0</v>
      </c>
      <c r="N8" s="21">
        <f>N5</f>
        <v>7602.801267135208</v>
      </c>
      <c r="O8" s="21">
        <f>O5</f>
        <v>60.970000000000006</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0.21374391937844134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4496.3053633467262</v>
      </c>
      <c r="C12" s="23">
        <f ca="1">C10*C8</f>
        <v>0</v>
      </c>
      <c r="D12" s="23">
        <f>D8*D10</f>
        <v>5204.8786789151718</v>
      </c>
      <c r="E12" s="23">
        <f>E10*E8</f>
        <v>395.17137428488292</v>
      </c>
      <c r="F12" s="23">
        <f>F10*F8</f>
        <v>6703.0666535335404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868</v>
      </c>
      <c r="C18" s="167" t="s">
        <v>111</v>
      </c>
      <c r="D18" s="229"/>
      <c r="E18" s="15"/>
    </row>
    <row r="19" spans="1:7">
      <c r="A19" s="172" t="s">
        <v>72</v>
      </c>
      <c r="B19" s="37">
        <f>aantalw2001_ander</f>
        <v>0</v>
      </c>
      <c r="C19" s="167" t="s">
        <v>111</v>
      </c>
      <c r="D19" s="230"/>
      <c r="E19" s="15"/>
    </row>
    <row r="20" spans="1:7">
      <c r="A20" s="172" t="s">
        <v>73</v>
      </c>
      <c r="B20" s="37">
        <f>aantalw2001_propaan</f>
        <v>53</v>
      </c>
      <c r="C20" s="168">
        <f>IF(ISERROR(B20/SUM($B$20,$B$21,$B$22)*100),0,B20/SUM($B$20,$B$21,$B$22)*100)</f>
        <v>7.6589595375722546</v>
      </c>
      <c r="D20" s="230"/>
      <c r="E20" s="15"/>
    </row>
    <row r="21" spans="1:7">
      <c r="A21" s="172" t="s">
        <v>74</v>
      </c>
      <c r="B21" s="37">
        <f>aantalw2001_elektriciteit</f>
        <v>559</v>
      </c>
      <c r="C21" s="168">
        <f>IF(ISERROR(B21/SUM($B$20,$B$21,$B$22)*100),0,B21/SUM($B$20,$B$21,$B$22)*100)</f>
        <v>80.780346820809243</v>
      </c>
      <c r="D21" s="230"/>
      <c r="E21" s="15"/>
    </row>
    <row r="22" spans="1:7">
      <c r="A22" s="172" t="s">
        <v>75</v>
      </c>
      <c r="B22" s="37">
        <f>aantalw2001_hout</f>
        <v>80</v>
      </c>
      <c r="C22" s="168">
        <f>IF(ISERROR(B22/SUM($B$20,$B$21,$B$22)*100),0,B22/SUM($B$20,$B$21,$B$22)*100)</f>
        <v>11.560693641618498</v>
      </c>
      <c r="D22" s="230"/>
      <c r="E22" s="15"/>
    </row>
    <row r="23" spans="1:7">
      <c r="A23" s="172" t="s">
        <v>76</v>
      </c>
      <c r="B23" s="37">
        <f>aantalw2001_niet_gespec</f>
        <v>63</v>
      </c>
      <c r="C23" s="167" t="s">
        <v>111</v>
      </c>
      <c r="D23" s="229"/>
      <c r="E23" s="15"/>
    </row>
    <row r="24" spans="1:7">
      <c r="A24" s="172" t="s">
        <v>77</v>
      </c>
      <c r="B24" s="37">
        <f>aantalw2001_steenkool</f>
        <v>79</v>
      </c>
      <c r="C24" s="167" t="s">
        <v>111</v>
      </c>
      <c r="D24" s="230"/>
      <c r="E24" s="15"/>
    </row>
    <row r="25" spans="1:7">
      <c r="A25" s="172" t="s">
        <v>78</v>
      </c>
      <c r="B25" s="37">
        <f>aantalw2001_stookolie</f>
        <v>1830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3893</v>
      </c>
      <c r="C28" s="36"/>
      <c r="D28" s="229"/>
    </row>
    <row r="29" spans="1:7" s="15" customFormat="1">
      <c r="A29" s="231" t="s">
        <v>714</v>
      </c>
      <c r="B29" s="37">
        <f>SUM(HH_hh_gas_aantal,HH_rest_gas_aantal)</f>
        <v>1678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1678</v>
      </c>
      <c r="C32" s="168">
        <f>IF(ISERROR(B32/SUM($B$32,$B$34,$B$35,$B$36,$B$38,$B$39)*100),0,B32/SUM($B$32,$B$34,$B$35,$B$36,$B$38,$B$39)*100)</f>
        <v>43.202883625128734</v>
      </c>
      <c r="D32" s="234"/>
      <c r="G32" s="15"/>
    </row>
    <row r="33" spans="1:7">
      <c r="A33" s="172" t="s">
        <v>72</v>
      </c>
      <c r="B33" s="34" t="s">
        <v>111</v>
      </c>
      <c r="C33" s="168"/>
      <c r="D33" s="234"/>
      <c r="G33" s="15"/>
    </row>
    <row r="34" spans="1:7">
      <c r="A34" s="172" t="s">
        <v>73</v>
      </c>
      <c r="B34" s="33">
        <f>IF((($B$28-$B$32-$B$39-$B$77-$B$38)*C20/100)&lt;0,0,($B$28-$B$32-$B$39-$B$77-$B$38)*C20/100)</f>
        <v>84.631502890173408</v>
      </c>
      <c r="C34" s="168">
        <f>IF(ISERROR(B34/SUM($B$32,$B$34,$B$35,$B$36,$B$38,$B$39)*100),0,B34/SUM($B$32,$B$34,$B$35,$B$36,$B$38,$B$39)*100)</f>
        <v>2.1789779322907674</v>
      </c>
      <c r="D34" s="234"/>
      <c r="G34" s="15"/>
    </row>
    <row r="35" spans="1:7">
      <c r="A35" s="172" t="s">
        <v>74</v>
      </c>
      <c r="B35" s="33">
        <f>IF((($B$28-$B$32-$B$39-$B$77-$B$38)*C21/100)&lt;0,0,($B$28-$B$32-$B$39-$B$77-$B$38)*C21/100)</f>
        <v>892.62283236994222</v>
      </c>
      <c r="C35" s="168">
        <f>IF(ISERROR(B35/SUM($B$32,$B$34,$B$35,$B$36,$B$38,$B$39)*100),0,B35/SUM($B$32,$B$34,$B$35,$B$36,$B$38,$B$39)*100)</f>
        <v>22.982050266991301</v>
      </c>
      <c r="D35" s="234"/>
      <c r="G35" s="15"/>
    </row>
    <row r="36" spans="1:7">
      <c r="A36" s="172" t="s">
        <v>75</v>
      </c>
      <c r="B36" s="33">
        <f>IF((($B$28-$B$32-$B$39-$B$77-$B$38)*C22/100)&lt;0,0,($B$28-$B$32-$B$39-$B$77-$B$38)*C22/100)</f>
        <v>127.74566473988439</v>
      </c>
      <c r="C36" s="168">
        <f>IF(ISERROR(B36/SUM($B$32,$B$34,$B$35,$B$36,$B$38,$B$39)*100),0,B36/SUM($B$32,$B$34,$B$35,$B$36,$B$38,$B$39)*100)</f>
        <v>3.2890232940237998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1101</v>
      </c>
      <c r="C39" s="168">
        <f>IF(ISERROR(B39/SUM($B$32,$B$34,$B$35,$B$36,$B$38,$B$39)*100),0,B39/SUM($B$32,$B$34,$B$35,$B$36,$B$38,$B$39)*100)</f>
        <v>28.347064881565398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1678</v>
      </c>
      <c r="C44" s="34" t="s">
        <v>111</v>
      </c>
      <c r="D44" s="175"/>
    </row>
    <row r="45" spans="1:7">
      <c r="A45" s="172" t="s">
        <v>72</v>
      </c>
      <c r="B45" s="33" t="str">
        <f t="shared" si="0"/>
        <v>-</v>
      </c>
      <c r="C45" s="34" t="s">
        <v>111</v>
      </c>
      <c r="D45" s="175"/>
    </row>
    <row r="46" spans="1:7">
      <c r="A46" s="172" t="s">
        <v>73</v>
      </c>
      <c r="B46" s="33">
        <f t="shared" si="0"/>
        <v>84.631502890173408</v>
      </c>
      <c r="C46" s="34" t="s">
        <v>111</v>
      </c>
      <c r="D46" s="175"/>
    </row>
    <row r="47" spans="1:7">
      <c r="A47" s="172" t="s">
        <v>74</v>
      </c>
      <c r="B47" s="33">
        <f t="shared" si="0"/>
        <v>892.62283236994222</v>
      </c>
      <c r="C47" s="34" t="s">
        <v>111</v>
      </c>
      <c r="D47" s="175"/>
    </row>
    <row r="48" spans="1:7">
      <c r="A48" s="172" t="s">
        <v>75</v>
      </c>
      <c r="B48" s="33">
        <f t="shared" si="0"/>
        <v>127.74566473988439</v>
      </c>
      <c r="C48" s="33">
        <f>B48*10</f>
        <v>1277.4566473988439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7886.2283354462397</v>
      </c>
      <c r="C5" s="17">
        <f>IF(ISERROR('Eigen informatie GS &amp; warmtenet'!B58),0,'Eigen informatie GS &amp; warmtenet'!B58)</f>
        <v>0</v>
      </c>
      <c r="D5" s="30">
        <f>SUM(D6:D12)</f>
        <v>10429.699011695162</v>
      </c>
      <c r="E5" s="17">
        <f>SUM(E6:E12)</f>
        <v>153.58932682802021</v>
      </c>
      <c r="F5" s="17">
        <f>SUM(F6:F12)</f>
        <v>1445.8941391814756</v>
      </c>
      <c r="G5" s="18"/>
      <c r="H5" s="17"/>
      <c r="I5" s="17"/>
      <c r="J5" s="17">
        <f>SUM(J6:J12)</f>
        <v>0</v>
      </c>
      <c r="K5" s="17"/>
      <c r="L5" s="17"/>
      <c r="M5" s="17"/>
      <c r="N5" s="17">
        <f>SUM(N6:N12)</f>
        <v>255.04388695634316</v>
      </c>
      <c r="O5" s="17">
        <f>B38*B39*B40</f>
        <v>0</v>
      </c>
      <c r="P5" s="17">
        <f>B46*B47*B48/1000-B46*B47*B48/1000/B49</f>
        <v>19.066666666666666</v>
      </c>
      <c r="R5" s="32"/>
    </row>
    <row r="6" spans="1:18">
      <c r="A6" s="32" t="s">
        <v>54</v>
      </c>
      <c r="B6" s="37">
        <f>B26</f>
        <v>1373.3455905460999</v>
      </c>
      <c r="C6" s="33"/>
      <c r="D6" s="37">
        <f>IF(ISERROR(TER_kantoor_gas_kWh/1000),0,TER_kantoor_gas_kWh/1000)*0.902</f>
        <v>2339.8543766708185</v>
      </c>
      <c r="E6" s="33">
        <f>$C$26*'E Balans VL '!I12/100/3.6*1000000</f>
        <v>48.072498062709315</v>
      </c>
      <c r="F6" s="33">
        <f>$C$26*('E Balans VL '!L12+'E Balans VL '!N12)/100/3.6*1000000</f>
        <v>208.22867696768691</v>
      </c>
      <c r="G6" s="34"/>
      <c r="H6" s="33"/>
      <c r="I6" s="33"/>
      <c r="J6" s="33">
        <f>$C$26*('E Balans VL '!D12+'E Balans VL '!E12)/100/3.6*1000000</f>
        <v>0</v>
      </c>
      <c r="K6" s="33"/>
      <c r="L6" s="33"/>
      <c r="M6" s="33"/>
      <c r="N6" s="33">
        <f>$C$26*'E Balans VL '!Y12/100/3.6*1000000</f>
        <v>10.615531569581384</v>
      </c>
      <c r="O6" s="33"/>
      <c r="P6" s="33"/>
      <c r="R6" s="32"/>
    </row>
    <row r="7" spans="1:18">
      <c r="A7" s="32" t="s">
        <v>53</v>
      </c>
      <c r="B7" s="37">
        <f t="shared" ref="B7:B12" si="0">B27</f>
        <v>694.99812289941303</v>
      </c>
      <c r="C7" s="33"/>
      <c r="D7" s="37">
        <f>IF(ISERROR(TER_horeca_gas_kWh/1000),0,TER_horeca_gas_kWh/1000)*0.902</f>
        <v>833.0103051047513</v>
      </c>
      <c r="E7" s="33">
        <f>$C$27*'E Balans VL '!I9/100/3.6*1000000</f>
        <v>39.207135355941979</v>
      </c>
      <c r="F7" s="33">
        <f>$C$27*('E Balans VL '!L9+'E Balans VL '!N9)/100/3.6*1000000</f>
        <v>121.07251917807238</v>
      </c>
      <c r="G7" s="34"/>
      <c r="H7" s="33"/>
      <c r="I7" s="33"/>
      <c r="J7" s="33">
        <f>$C$27*('E Balans VL '!D9+'E Balans VL '!E9)/100/3.6*1000000</f>
        <v>0</v>
      </c>
      <c r="K7" s="33"/>
      <c r="L7" s="33"/>
      <c r="M7" s="33"/>
      <c r="N7" s="33">
        <f>$C$27*'E Balans VL '!Y9/100/3.6*1000000</f>
        <v>0</v>
      </c>
      <c r="O7" s="33"/>
      <c r="P7" s="33"/>
      <c r="R7" s="32"/>
    </row>
    <row r="8" spans="1:18">
      <c r="A8" s="6" t="s">
        <v>52</v>
      </c>
      <c r="B8" s="37">
        <f t="shared" si="0"/>
        <v>2364.42421927647</v>
      </c>
      <c r="C8" s="33"/>
      <c r="D8" s="37">
        <f>IF(ISERROR(TER_handel_gas_kWh/1000),0,TER_handel_gas_kWh/1000)*0.902</f>
        <v>399.21276907531455</v>
      </c>
      <c r="E8" s="33">
        <f>$C$28*'E Balans VL '!I13/100/3.6*1000000</f>
        <v>12.138713719748745</v>
      </c>
      <c r="F8" s="33">
        <f>$C$28*('E Balans VL '!L13+'E Balans VL '!N13)/100/3.6*1000000</f>
        <v>364.55768050785423</v>
      </c>
      <c r="G8" s="34"/>
      <c r="H8" s="33"/>
      <c r="I8" s="33"/>
      <c r="J8" s="33">
        <f>$C$28*('E Balans VL '!D13+'E Balans VL '!E13)/100/3.6*1000000</f>
        <v>0</v>
      </c>
      <c r="K8" s="33"/>
      <c r="L8" s="33"/>
      <c r="M8" s="33"/>
      <c r="N8" s="33">
        <f>$C$28*'E Balans VL '!Y13/100/3.6*1000000</f>
        <v>1.1058700690380918</v>
      </c>
      <c r="O8" s="33"/>
      <c r="P8" s="33"/>
      <c r="R8" s="32"/>
    </row>
    <row r="9" spans="1:18">
      <c r="A9" s="32" t="s">
        <v>51</v>
      </c>
      <c r="B9" s="37">
        <f t="shared" si="0"/>
        <v>392.99210946454997</v>
      </c>
      <c r="C9" s="33"/>
      <c r="D9" s="37">
        <f>IF(ISERROR(TER_gezond_gas_kWh/1000),0,TER_gezond_gas_kWh/1000)*0.902</f>
        <v>3828.3057330002844</v>
      </c>
      <c r="E9" s="33">
        <f>$C$29*'E Balans VL '!I10/100/3.6*1000000</f>
        <v>0.16289243058356034</v>
      </c>
      <c r="F9" s="33">
        <f>$C$29*('E Balans VL '!L10+'E Balans VL '!N10)/100/3.6*1000000</f>
        <v>96.78832030243413</v>
      </c>
      <c r="G9" s="34"/>
      <c r="H9" s="33"/>
      <c r="I9" s="33"/>
      <c r="J9" s="33">
        <f>$C$29*('E Balans VL '!D10+'E Balans VL '!E10)/100/3.6*1000000</f>
        <v>0</v>
      </c>
      <c r="K9" s="33"/>
      <c r="L9" s="33"/>
      <c r="M9" s="33"/>
      <c r="N9" s="33">
        <f>$C$29*'E Balans VL '!Y10/100/3.6*1000000</f>
        <v>3.3964245304149623</v>
      </c>
      <c r="O9" s="33"/>
      <c r="P9" s="33"/>
      <c r="R9" s="32"/>
    </row>
    <row r="10" spans="1:18">
      <c r="A10" s="32" t="s">
        <v>50</v>
      </c>
      <c r="B10" s="37">
        <f t="shared" si="0"/>
        <v>757.6000609722571</v>
      </c>
      <c r="C10" s="33"/>
      <c r="D10" s="37">
        <f>IF(ISERROR(TER_ander_gas_kWh/1000),0,TER_ander_gas_kWh/1000)*0.902</f>
        <v>129.3465834202442</v>
      </c>
      <c r="E10" s="33">
        <f>$C$30*'E Balans VL '!I14/100/3.6*1000000</f>
        <v>4.6183486637239719</v>
      </c>
      <c r="F10" s="33">
        <f>$C$30*('E Balans VL '!L14+'E Balans VL '!N14)/100/3.6*1000000</f>
        <v>200.85015410735937</v>
      </c>
      <c r="G10" s="34"/>
      <c r="H10" s="33"/>
      <c r="I10" s="33"/>
      <c r="J10" s="33">
        <f>$C$30*('E Balans VL '!D14+'E Balans VL '!E14)/100/3.6*1000000</f>
        <v>0</v>
      </c>
      <c r="K10" s="33"/>
      <c r="L10" s="33"/>
      <c r="M10" s="33"/>
      <c r="N10" s="33">
        <f>$C$30*'E Balans VL '!Y14/100/3.6*1000000</f>
        <v>174.61044352172786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2302.8682322874502</v>
      </c>
      <c r="C12" s="33"/>
      <c r="D12" s="37">
        <f>IF(ISERROR(TER_rest_gas_kWh/1000),0,TER_rest_gas_kWh/1000)*0.902</f>
        <v>2899.9692444237489</v>
      </c>
      <c r="E12" s="33">
        <f>$C$32*'E Balans VL '!I8/100/3.6*1000000</f>
        <v>49.389738595312622</v>
      </c>
      <c r="F12" s="33">
        <f>$C$32*('E Balans VL '!L8+'E Balans VL '!N8)/100/3.6*1000000</f>
        <v>454.39678811806846</v>
      </c>
      <c r="G12" s="34"/>
      <c r="H12" s="33"/>
      <c r="I12" s="33"/>
      <c r="J12" s="33">
        <f>$C$32*('E Balans VL '!D8+'E Balans VL '!E8)/100/3.6*1000000</f>
        <v>0</v>
      </c>
      <c r="K12" s="33"/>
      <c r="L12" s="33"/>
      <c r="M12" s="33"/>
      <c r="N12" s="33">
        <f>$C$32*'E Balans VL '!Y8/100/3.6*1000000</f>
        <v>65.315617265580869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7886.2283354462397</v>
      </c>
      <c r="C16" s="21">
        <f ca="1">C5+C13+C14</f>
        <v>0</v>
      </c>
      <c r="D16" s="21">
        <f t="shared" ref="D16:N16" ca="1" si="1">MAX((D5+D13+D14),0)</f>
        <v>10429.699011695162</v>
      </c>
      <c r="E16" s="21">
        <f t="shared" si="1"/>
        <v>153.58932682802021</v>
      </c>
      <c r="F16" s="21">
        <f t="shared" ca="1" si="1"/>
        <v>1445.8941391814756</v>
      </c>
      <c r="G16" s="21">
        <f t="shared" si="1"/>
        <v>0</v>
      </c>
      <c r="H16" s="21">
        <f t="shared" si="1"/>
        <v>0</v>
      </c>
      <c r="I16" s="21">
        <f t="shared" si="1"/>
        <v>0</v>
      </c>
      <c r="J16" s="21">
        <f t="shared" si="1"/>
        <v>0</v>
      </c>
      <c r="K16" s="21">
        <f t="shared" si="1"/>
        <v>0</v>
      </c>
      <c r="L16" s="21">
        <f t="shared" ca="1" si="1"/>
        <v>0</v>
      </c>
      <c r="M16" s="21">
        <f t="shared" si="1"/>
        <v>0</v>
      </c>
      <c r="N16" s="21">
        <f t="shared" ca="1" si="1"/>
        <v>255.04388695634316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0.21374391937844134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1685.6333535316007</v>
      </c>
      <c r="C20" s="23">
        <f t="shared" ref="C20:P20" ca="1" si="2">C16*C18</f>
        <v>0</v>
      </c>
      <c r="D20" s="23">
        <f t="shared" ca="1" si="2"/>
        <v>2106.7992003624227</v>
      </c>
      <c r="E20" s="23">
        <f t="shared" si="2"/>
        <v>34.864777189960584</v>
      </c>
      <c r="F20" s="23">
        <f t="shared" ca="1" si="2"/>
        <v>386.05373516145397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1373.3455905460999</v>
      </c>
      <c r="C26" s="39">
        <f>IF(ISERROR(B26*3.6/1000000/'E Balans VL '!Z12*100),0,B26*3.6/1000000/'E Balans VL '!Z12*100)</f>
        <v>2.8899780430815342E-2</v>
      </c>
      <c r="D26" s="238" t="s">
        <v>720</v>
      </c>
      <c r="F26" s="6"/>
    </row>
    <row r="27" spans="1:18">
      <c r="A27" s="232" t="s">
        <v>53</v>
      </c>
      <c r="B27" s="33">
        <f>IF(ISERROR(TER_horeca_ele_kWh/1000),0,TER_horeca_ele_kWh/1000)</f>
        <v>694.99812289941303</v>
      </c>
      <c r="C27" s="39">
        <f>IF(ISERROR(B27*3.6/1000000/'E Balans VL '!Z9*100),0,B27*3.6/1000000/'E Balans VL '!Z9*100)</f>
        <v>5.884353813925329E-2</v>
      </c>
      <c r="D27" s="238" t="s">
        <v>720</v>
      </c>
      <c r="F27" s="6"/>
    </row>
    <row r="28" spans="1:18">
      <c r="A28" s="172" t="s">
        <v>52</v>
      </c>
      <c r="B28" s="33">
        <f>IF(ISERROR(TER_handel_ele_kWh/1000),0,TER_handel_ele_kWh/1000)</f>
        <v>2364.42421927647</v>
      </c>
      <c r="C28" s="39">
        <f>IF(ISERROR(B28*3.6/1000000/'E Balans VL '!Z13*100),0,B28*3.6/1000000/'E Balans VL '!Z13*100)</f>
        <v>6.5458757560344374E-2</v>
      </c>
      <c r="D28" s="238" t="s">
        <v>720</v>
      </c>
      <c r="F28" s="6"/>
    </row>
    <row r="29" spans="1:18">
      <c r="A29" s="232" t="s">
        <v>51</v>
      </c>
      <c r="B29" s="33">
        <f>IF(ISERROR(TER_gezond_ele_kWh/1000),0,TER_gezond_ele_kWh/1000)</f>
        <v>392.99210946454997</v>
      </c>
      <c r="C29" s="39">
        <f>IF(ISERROR(B29*3.6/1000000/'E Balans VL '!Z10*100),0,B29*3.6/1000000/'E Balans VL '!Z10*100)</f>
        <v>5.1084617404897011E-2</v>
      </c>
      <c r="D29" s="238" t="s">
        <v>720</v>
      </c>
      <c r="F29" s="6"/>
    </row>
    <row r="30" spans="1:18">
      <c r="A30" s="232" t="s">
        <v>50</v>
      </c>
      <c r="B30" s="33">
        <f>IF(ISERROR(TER_ander_ele_kWh/1000),0,TER_ander_ele_kWh/1000)</f>
        <v>757.6000609722571</v>
      </c>
      <c r="C30" s="39">
        <f>IF(ISERROR(B30*3.6/1000000/'E Balans VL '!Z14*100),0,B30*3.6/1000000/'E Balans VL '!Z14*100)</f>
        <v>5.8720952448652698E-2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2302.8682322874502</v>
      </c>
      <c r="C32" s="39">
        <f>IF(ISERROR(B32*3.6/1000000/'E Balans VL '!Z8*100),0,B32*3.6/1000000/'E Balans VL '!Z8*100)</f>
        <v>1.8988916983565696E-2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9642.3030824622783</v>
      </c>
      <c r="C5" s="17">
        <f>IF(ISERROR('Eigen informatie GS &amp; warmtenet'!B59),0,'Eigen informatie GS &amp; warmtenet'!B59)</f>
        <v>0</v>
      </c>
      <c r="D5" s="30">
        <f>SUM(D6:D15)</f>
        <v>7639.1155362241716</v>
      </c>
      <c r="E5" s="17">
        <f>SUM(E6:E15)</f>
        <v>94.941529717525867</v>
      </c>
      <c r="F5" s="17">
        <f>SUM(F6:F15)</f>
        <v>1880.7205787857415</v>
      </c>
      <c r="G5" s="18"/>
      <c r="H5" s="17"/>
      <c r="I5" s="17"/>
      <c r="J5" s="17">
        <f>SUM(J6:J15)</f>
        <v>38.286586808124106</v>
      </c>
      <c r="K5" s="17"/>
      <c r="L5" s="17"/>
      <c r="M5" s="17"/>
      <c r="N5" s="17">
        <f>SUM(N6:N15)</f>
        <v>169.08624988646574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11.0329384870195</v>
      </c>
      <c r="C8" s="33"/>
      <c r="D8" s="37">
        <f>IF( ISERROR(IND_metaal_Gas_kWH/1000),0,IND_metaal_Gas_kWH/1000)*0.902</f>
        <v>0</v>
      </c>
      <c r="E8" s="33">
        <f>C30*'E Balans VL '!I18/100/3.6*1000000</f>
        <v>7.7526024440829677E-2</v>
      </c>
      <c r="F8" s="33">
        <f>C30*'E Balans VL '!L18/100/3.6*1000000+C30*'E Balans VL '!N18/100/3.6*1000000</f>
        <v>1.211352096831124</v>
      </c>
      <c r="G8" s="34"/>
      <c r="H8" s="33"/>
      <c r="I8" s="33"/>
      <c r="J8" s="40">
        <f>C30*'E Balans VL '!D18/100/3.6*1000000+C30*'E Balans VL '!E18/100/3.6*1000000</f>
        <v>0.22763330129205273</v>
      </c>
      <c r="K8" s="33"/>
      <c r="L8" s="33"/>
      <c r="M8" s="33"/>
      <c r="N8" s="33">
        <f>C30*'E Balans VL '!Y18/100/3.6*1000000</f>
        <v>4.1352248040726625E-2</v>
      </c>
      <c r="O8" s="33"/>
      <c r="P8" s="33"/>
      <c r="R8" s="32"/>
    </row>
    <row r="9" spans="1:18">
      <c r="A9" s="6" t="s">
        <v>33</v>
      </c>
      <c r="B9" s="37">
        <f t="shared" si="0"/>
        <v>489.07987683923199</v>
      </c>
      <c r="C9" s="33"/>
      <c r="D9" s="37">
        <f>IF( ISERROR(IND_andere_gas_kWh/1000),0,IND_andere_gas_kWh/1000)*0.902</f>
        <v>418.66198416131488</v>
      </c>
      <c r="E9" s="33">
        <f>C31*'E Balans VL '!I19/100/3.6*1000000</f>
        <v>8.2146956734935674</v>
      </c>
      <c r="F9" s="33">
        <f>C31*'E Balans VL '!L19/100/3.6*1000000+C31*'E Balans VL '!N19/100/3.6*1000000</f>
        <v>382.33479180306006</v>
      </c>
      <c r="G9" s="34"/>
      <c r="H9" s="33"/>
      <c r="I9" s="33"/>
      <c r="J9" s="40">
        <f>C31*'E Balans VL '!D19/100/3.6*1000000+C31*'E Balans VL '!E19/100/3.6*1000000</f>
        <v>4.4110687594572311E-2</v>
      </c>
      <c r="K9" s="33"/>
      <c r="L9" s="33"/>
      <c r="M9" s="33"/>
      <c r="N9" s="33">
        <f>C31*'E Balans VL '!Y19/100/3.6*1000000</f>
        <v>36.248665469618111</v>
      </c>
      <c r="O9" s="33"/>
      <c r="P9" s="33"/>
      <c r="R9" s="32"/>
    </row>
    <row r="10" spans="1:18">
      <c r="A10" s="6" t="s">
        <v>41</v>
      </c>
      <c r="B10" s="37">
        <f t="shared" si="0"/>
        <v>8614.1081493807596</v>
      </c>
      <c r="C10" s="33"/>
      <c r="D10" s="37">
        <f>IF( ISERROR(IND_voed_gas_kWh/1000),0,IND_voed_gas_kWh/1000)*0.902</f>
        <v>6926.1690865854807</v>
      </c>
      <c r="E10" s="33">
        <f>C32*'E Balans VL '!I20/100/3.6*1000000</f>
        <v>78.591543162480676</v>
      </c>
      <c r="F10" s="33">
        <f>C32*'E Balans VL '!L20/100/3.6*1000000+C32*'E Balans VL '!N20/100/3.6*1000000</f>
        <v>1389.7250780302302</v>
      </c>
      <c r="G10" s="34"/>
      <c r="H10" s="33"/>
      <c r="I10" s="33"/>
      <c r="J10" s="40">
        <f>C32*'E Balans VL '!D20/100/3.6*1000000+C32*'E Balans VL '!E20/100/3.6*1000000</f>
        <v>35.47854504182925</v>
      </c>
      <c r="K10" s="33"/>
      <c r="L10" s="33"/>
      <c r="M10" s="33"/>
      <c r="N10" s="33">
        <f>C32*'E Balans VL '!Y20/100/3.6*1000000</f>
        <v>126.01760981052838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151.40528674325699</v>
      </c>
      <c r="C13" s="33"/>
      <c r="D13" s="37">
        <f>IF( ISERROR(IND_papier_gas_kWh/1000),0,IND_papier_gas_kWh/1000)*0.902</f>
        <v>0</v>
      </c>
      <c r="E13" s="33">
        <f>C35*'E Balans VL '!I23/100/3.6*1000000</f>
        <v>4.6583455404831167</v>
      </c>
      <c r="F13" s="33">
        <f>C35*'E Balans VL '!L23/100/3.6*1000000+C35*'E Balans VL '!N23/100/3.6*1000000</f>
        <v>32.148633677742367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376.67683101201197</v>
      </c>
      <c r="C15" s="33"/>
      <c r="D15" s="37">
        <f>IF( ISERROR(IND_rest_gas_kWh/1000),0,IND_rest_gas_kWh/1000)*0.902</f>
        <v>294.28446547737627</v>
      </c>
      <c r="E15" s="33">
        <f>C37*'E Balans VL '!I15/100/3.6*1000000</f>
        <v>3.3994193166276885</v>
      </c>
      <c r="F15" s="33">
        <f>C37*'E Balans VL '!L15/100/3.6*1000000+C37*'E Balans VL '!N15/100/3.6*1000000</f>
        <v>75.300723177877842</v>
      </c>
      <c r="G15" s="34"/>
      <c r="H15" s="33"/>
      <c r="I15" s="33"/>
      <c r="J15" s="40">
        <f>C37*'E Balans VL '!D15/100/3.6*1000000+C37*'E Balans VL '!E15/100/3.6*1000000</f>
        <v>2.5362977774082327</v>
      </c>
      <c r="K15" s="33"/>
      <c r="L15" s="33"/>
      <c r="M15" s="33"/>
      <c r="N15" s="33">
        <f>C37*'E Balans VL '!Y15/100/3.6*1000000</f>
        <v>6.7786223582785086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9642.3030824622783</v>
      </c>
      <c r="C18" s="21">
        <f>C5+C16</f>
        <v>0</v>
      </c>
      <c r="D18" s="21">
        <f>MAX((D5+D16),0)</f>
        <v>7639.1155362241716</v>
      </c>
      <c r="E18" s="21">
        <f>MAX((E5+E16),0)</f>
        <v>94.941529717525867</v>
      </c>
      <c r="F18" s="21">
        <f>MAX((F5+F16),0)</f>
        <v>1880.7205787857415</v>
      </c>
      <c r="G18" s="21"/>
      <c r="H18" s="21"/>
      <c r="I18" s="21"/>
      <c r="J18" s="21">
        <f>MAX((J5+J16),0)</f>
        <v>38.286586808124106</v>
      </c>
      <c r="K18" s="21"/>
      <c r="L18" s="21">
        <f>MAX((L5+L16),0)</f>
        <v>0</v>
      </c>
      <c r="M18" s="21"/>
      <c r="N18" s="21">
        <f>MAX((N5+N16),0)</f>
        <v>169.08624988646574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0.21374391937844134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2060.9836526803138</v>
      </c>
      <c r="C22" s="23">
        <f ca="1">C18*C20</f>
        <v>0</v>
      </c>
      <c r="D22" s="23">
        <f>D18*D20</f>
        <v>1543.1013383172829</v>
      </c>
      <c r="E22" s="23">
        <f>E18*E20</f>
        <v>21.551727245878372</v>
      </c>
      <c r="F22" s="23">
        <f>F18*F20</f>
        <v>502.15239453579301</v>
      </c>
      <c r="G22" s="23"/>
      <c r="H22" s="23"/>
      <c r="I22" s="23"/>
      <c r="J22" s="23">
        <f>J18*J20</f>
        <v>13.553451730075933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11.0329384870195</v>
      </c>
      <c r="C30" s="39">
        <f>IF(ISERROR(B30*3.6/1000000/'E Balans VL '!Z18*100),0,B30*3.6/1000000/'E Balans VL '!Z18*100)</f>
        <v>7.3446945235770009E-4</v>
      </c>
      <c r="D30" s="238" t="s">
        <v>720</v>
      </c>
    </row>
    <row r="31" spans="1:18">
      <c r="A31" s="6" t="s">
        <v>33</v>
      </c>
      <c r="B31" s="37">
        <f>IF( ISERROR(IND_ander_ele_kWh/1000),0,IND_ander_ele_kWh/1000)</f>
        <v>489.07987683923199</v>
      </c>
      <c r="C31" s="39">
        <f>IF(ISERROR(B31*3.6/1000000/'E Balans VL '!Z19*100),0,B31*3.6/1000000/'E Balans VL '!Z19*100)</f>
        <v>2.1678972742724959E-2</v>
      </c>
      <c r="D31" s="238" t="s">
        <v>720</v>
      </c>
    </row>
    <row r="32" spans="1:18">
      <c r="A32" s="172" t="s">
        <v>41</v>
      </c>
      <c r="B32" s="37">
        <f>IF( ISERROR(IND_voed_ele_kWh/1000),0,IND_voed_ele_kWh/1000)</f>
        <v>8614.1081493807596</v>
      </c>
      <c r="C32" s="39">
        <f>IF(ISERROR(B32*3.6/1000000/'E Balans VL '!Z20*100),0,B32*3.6/1000000/'E Balans VL '!Z20*100)</f>
        <v>0.28773592286741123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151.40528674325699</v>
      </c>
      <c r="C35" s="39">
        <f>IF(ISERROR(B35*3.6/1000000/'E Balans VL '!Z22*100),0,B35*3.6/1000000/'E Balans VL '!Z22*100)</f>
        <v>2.9446665179024504E-2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376.67683101201197</v>
      </c>
      <c r="C37" s="39">
        <f>IF(ISERROR(B37*3.6/1000000/'E Balans VL '!Z15*100),0,B37*3.6/1000000/'E Balans VL '!Z15*100)</f>
        <v>2.8018619636797195E-3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1237.4374569963045</v>
      </c>
      <c r="C5" s="17">
        <f>'Eigen informatie GS &amp; warmtenet'!B60</f>
        <v>0</v>
      </c>
      <c r="D5" s="30">
        <f>IF(ISERROR(SUM(LB_lb_gas_kWh,LB_rest_gas_kWh,onbekend_gas_kWh)/1000),0,SUM(LB_lb_gas_kWh,LB_rest_gas_kWh,onbekend_gas_kWh)/1000)*0.902</f>
        <v>1006.5619640904545</v>
      </c>
      <c r="E5" s="17">
        <f>B17*'E Balans VL '!I25/3.6*1000000/100</f>
        <v>12.958712943950077</v>
      </c>
      <c r="F5" s="17">
        <f>B17*('E Balans VL '!L25/3.6*1000000+'E Balans VL '!N25/3.6*1000000)/100</f>
        <v>6355.6758092056916</v>
      </c>
      <c r="G5" s="18"/>
      <c r="H5" s="17"/>
      <c r="I5" s="17"/>
      <c r="J5" s="17">
        <f>('E Balans VL '!D25+'E Balans VL '!E25)/3.6*1000000*landbouw!B17/100</f>
        <v>110.51425625091157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1237.4374569963045</v>
      </c>
      <c r="C8" s="21">
        <f>C5+C6</f>
        <v>0</v>
      </c>
      <c r="D8" s="21">
        <f>MAX((D5+D6),0)</f>
        <v>1006.5619640904545</v>
      </c>
      <c r="E8" s="21">
        <f>MAX((E5+E6),0)</f>
        <v>12.958712943950077</v>
      </c>
      <c r="F8" s="21">
        <f>MAX((F5+F6),0)</f>
        <v>6355.6758092056916</v>
      </c>
      <c r="G8" s="21"/>
      <c r="H8" s="21"/>
      <c r="I8" s="21"/>
      <c r="J8" s="21">
        <f>MAX((J5+J6),0)</f>
        <v>110.51425625091157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0.21374391937844134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264.49473204408156</v>
      </c>
      <c r="C12" s="23">
        <f ca="1">C8*C10</f>
        <v>0</v>
      </c>
      <c r="D12" s="23">
        <f>D8*D10</f>
        <v>203.3255167462718</v>
      </c>
      <c r="E12" s="23">
        <f>E8*E10</f>
        <v>2.9416278382766676</v>
      </c>
      <c r="F12" s="23">
        <f>F8*F10</f>
        <v>1696.9654410579199</v>
      </c>
      <c r="G12" s="23"/>
      <c r="H12" s="23"/>
      <c r="I12" s="23"/>
      <c r="J12" s="23">
        <f>J8*J10</f>
        <v>39.122046712822694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0.19046551158892366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225.08184005788598</v>
      </c>
      <c r="C26" s="248">
        <f>B26*'GWP N2O_CH4'!B5</f>
        <v>4726.7186412156061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104.06979668692443</v>
      </c>
      <c r="C27" s="248">
        <f>B27*'GWP N2O_CH4'!B5</f>
        <v>2185.4657304254133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3.0470201660631102</v>
      </c>
      <c r="C28" s="248">
        <f>B28*'GWP N2O_CH4'!B4</f>
        <v>944.57625147956412</v>
      </c>
      <c r="D28" s="50"/>
    </row>
    <row r="29" spans="1:4">
      <c r="A29" s="41" t="s">
        <v>278</v>
      </c>
      <c r="B29" s="248">
        <f>B34*'ha_N2O bodem landbouw'!B4</f>
        <v>9.5188919830257479</v>
      </c>
      <c r="C29" s="248">
        <f>B29*'GWP N2O_CH4'!B4</f>
        <v>2950.8565147379818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1.5731219184355616E-3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2.1867423380884915E-6</v>
      </c>
      <c r="C5" s="446" t="s">
        <v>212</v>
      </c>
      <c r="D5" s="431">
        <f>SUM(D6:D11)</f>
        <v>1.2874872253443142E-5</v>
      </c>
      <c r="E5" s="431">
        <f>SUM(E6:E11)</f>
        <v>1.2998170207570595E-3</v>
      </c>
      <c r="F5" s="444" t="s">
        <v>212</v>
      </c>
      <c r="G5" s="431">
        <f>SUM(G6:G11)</f>
        <v>0.24633320702190054</v>
      </c>
      <c r="H5" s="431">
        <f>SUM(H6:H11)</f>
        <v>4.2444098184472985E-2</v>
      </c>
      <c r="I5" s="446" t="s">
        <v>212</v>
      </c>
      <c r="J5" s="446" t="s">
        <v>212</v>
      </c>
      <c r="K5" s="446" t="s">
        <v>212</v>
      </c>
      <c r="L5" s="446" t="s">
        <v>212</v>
      </c>
      <c r="M5" s="431">
        <f>SUM(M6:M11)</f>
        <v>1.2600913680979774E-2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9.3550701545454828E-7</v>
      </c>
      <c r="C6" s="432"/>
      <c r="D6" s="432">
        <f>vkm_2011_GW_PW*SUMIFS(TableVerdeelsleutelVkm[CNG],TableVerdeelsleutelVkm[Voertuigtype],"Lichte voertuigen")*SUMIFS(TableECFTransport[EnergieConsumptieFactor (PJ per km)],TableECFTransport[Index],CONCATENATE($A6,"_CNG_CNG"))</f>
        <v>4.032862000409145E-6</v>
      </c>
      <c r="E6" s="434">
        <f>vkm_2011_GW_PW*SUMIFS(TableVerdeelsleutelVkm[LPG],TableVerdeelsleutelVkm[Voertuigtype],"Lichte voertuigen")*SUMIFS(TableECFTransport[EnergieConsumptieFactor (PJ per km)],TableECFTransport[Index],CONCATENATE($A6,"_LPG_LPG"))</f>
        <v>4.1959454602069049E-4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5.1611281064593034E-2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1.3588180762693903E-2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2.8573529954703872E-3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5.1436555354389443E-2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1.7636882041379709E-5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2.2219628159174123E-3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9.9573497378188761E-7</v>
      </c>
      <c r="C8" s="432"/>
      <c r="D8" s="434">
        <f>vkm_2011_NGW_PW*SUMIFS(TableVerdeelsleutelVkm[CNG],TableVerdeelsleutelVkm[Voertuigtype],"Lichte voertuigen")*SUMIFS(TableECFTransport[EnergieConsumptieFactor (PJ per km)],TableECFTransport[Index],CONCATENATE($A8,"_CNG_CNG"))</f>
        <v>7.700845476158342E-6</v>
      </c>
      <c r="E8" s="434">
        <f>vkm_2011_NGW_PW*SUMIFS(TableVerdeelsleutelVkm[LPG],TableVerdeelsleutelVkm[Voertuigtype],"Lichte voertuigen")*SUMIFS(TableECFTransport[EnergieConsumptieFactor (PJ per km)],TableECFTransport[Index],CONCATENATE($A8,"_LPG_LPG"))</f>
        <v>7.3157850927093118E-4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8.5349828581762002E-2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2.4768136239161756E-2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4.8315036798453441E-3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3.0087408560898504E-2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8.9622485816070163E-6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1.2996570184047923E-3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2.5550034885205561E-7</v>
      </c>
      <c r="C10" s="432"/>
      <c r="D10" s="434">
        <f>vkm_2011_SW_PW*SUMIFS(TableVerdeelsleutelVkm[CNG],TableVerdeelsleutelVkm[Voertuigtype],"Lichte voertuigen")*SUMIFS(TableECFTransport[EnergieConsumptieFactor (PJ per km)],TableECFTransport[Index],CONCATENATE($A10,"_CNG_CNG"))</f>
        <v>1.1411647768756549E-6</v>
      </c>
      <c r="E10" s="434">
        <f>vkm_2011_SW_PW*SUMIFS(TableVerdeelsleutelVkm[LPG],TableVerdeelsleutelVkm[Voertuigtype],"Lichte voertuigen")*SUMIFS(TableECFTransport[EnergieConsumptieFactor (PJ per km)],TableECFTransport[Index],CONCATENATE($A10,"_LPG_LPG"))</f>
        <v>1.486439654654378E-4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1.6808867781681364E-2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4.0571433853680422E-3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9.1354985183703726E-4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1.1039265678576177E-2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4.038666626291535E-6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4.7688731950479936E-4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0.60742842724680324</v>
      </c>
      <c r="C14" s="21"/>
      <c r="D14" s="21">
        <f t="shared" ref="D14:M14" si="0">((D5)*10^9/3600)+D12</f>
        <v>3.5763534037342062</v>
      </c>
      <c r="E14" s="21">
        <f t="shared" si="0"/>
        <v>361.06028354362763</v>
      </c>
      <c r="F14" s="21"/>
      <c r="G14" s="21">
        <f t="shared" si="0"/>
        <v>68425.89083941681</v>
      </c>
      <c r="H14" s="21">
        <f t="shared" si="0"/>
        <v>11790.027273464719</v>
      </c>
      <c r="I14" s="21"/>
      <c r="J14" s="21"/>
      <c r="K14" s="21"/>
      <c r="L14" s="21"/>
      <c r="M14" s="21">
        <f t="shared" si="0"/>
        <v>3500.2538002721599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0.21374391937844134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0.12983413278161413</v>
      </c>
      <c r="C18" s="23"/>
      <c r="D18" s="23">
        <f t="shared" ref="D18:M18" si="1">D14*D16</f>
        <v>0.72242338755430968</v>
      </c>
      <c r="E18" s="23">
        <f t="shared" si="1"/>
        <v>81.960684364403477</v>
      </c>
      <c r="F18" s="23"/>
      <c r="G18" s="23">
        <f t="shared" si="1"/>
        <v>18269.712854124289</v>
      </c>
      <c r="H18" s="23">
        <f t="shared" si="1"/>
        <v>2935.7167910927151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2.388431748723629E-3</v>
      </c>
      <c r="H50" s="322">
        <f t="shared" si="2"/>
        <v>0</v>
      </c>
      <c r="I50" s="322">
        <f t="shared" si="2"/>
        <v>0</v>
      </c>
      <c r="J50" s="322">
        <f t="shared" si="2"/>
        <v>0</v>
      </c>
      <c r="K50" s="322">
        <f t="shared" si="2"/>
        <v>0</v>
      </c>
      <c r="L50" s="322">
        <f t="shared" si="2"/>
        <v>0</v>
      </c>
      <c r="M50" s="322">
        <f t="shared" si="2"/>
        <v>1.0180846896232458E-4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2.388431748723629E-3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1.0180846896232458E-4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663.45326353434132</v>
      </c>
      <c r="H54" s="21">
        <f t="shared" si="3"/>
        <v>0</v>
      </c>
      <c r="I54" s="21">
        <f t="shared" si="3"/>
        <v>0</v>
      </c>
      <c r="J54" s="21">
        <f t="shared" si="3"/>
        <v>0</v>
      </c>
      <c r="K54" s="21">
        <f t="shared" si="3"/>
        <v>0</v>
      </c>
      <c r="L54" s="21">
        <f t="shared" si="3"/>
        <v>0</v>
      </c>
      <c r="M54" s="21">
        <f t="shared" si="3"/>
        <v>28.280130267312384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0.21374391937844134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177.14202136366913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1334.5365240267561</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1334.5365240267561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8729.9713354462401</v>
      </c>
      <c r="D10" s="702">
        <f ca="1">tertiair!C16</f>
        <v>0</v>
      </c>
      <c r="E10" s="702">
        <f ca="1">tertiair!D16</f>
        <v>10429.699011695162</v>
      </c>
      <c r="F10" s="702">
        <f>tertiair!E16</f>
        <v>153.58932682802021</v>
      </c>
      <c r="G10" s="702">
        <f ca="1">tertiair!F16</f>
        <v>1445.8941391814756</v>
      </c>
      <c r="H10" s="702">
        <f>tertiair!G16</f>
        <v>0</v>
      </c>
      <c r="I10" s="702">
        <f>tertiair!H16</f>
        <v>0</v>
      </c>
      <c r="J10" s="702">
        <f>tertiair!I16</f>
        <v>0</v>
      </c>
      <c r="K10" s="702">
        <f>tertiair!J16</f>
        <v>0</v>
      </c>
      <c r="L10" s="702">
        <f>tertiair!K16</f>
        <v>0</v>
      </c>
      <c r="M10" s="702">
        <f ca="1">tertiair!L16</f>
        <v>0</v>
      </c>
      <c r="N10" s="702">
        <f>tertiair!M16</f>
        <v>0</v>
      </c>
      <c r="O10" s="702">
        <f ca="1">tertiair!N16</f>
        <v>255.04388695634316</v>
      </c>
      <c r="P10" s="702">
        <f>tertiair!O16</f>
        <v>0</v>
      </c>
      <c r="Q10" s="703">
        <f>tertiair!P16</f>
        <v>19.066666666666666</v>
      </c>
      <c r="R10" s="705">
        <f ca="1">SUM(C10:Q10)</f>
        <v>21033.264366773907</v>
      </c>
      <c r="S10" s="67"/>
    </row>
    <row r="11" spans="1:19" s="457" customFormat="1">
      <c r="A11" s="858" t="s">
        <v>226</v>
      </c>
      <c r="B11" s="863"/>
      <c r="C11" s="702">
        <f>huishoudens!B8</f>
        <v>21035.945146050472</v>
      </c>
      <c r="D11" s="702">
        <f>huishoudens!C8</f>
        <v>0</v>
      </c>
      <c r="E11" s="702">
        <f>huishoudens!D8</f>
        <v>25766.726133243421</v>
      </c>
      <c r="F11" s="702">
        <f>huishoudens!E8</f>
        <v>1740.8430585237134</v>
      </c>
      <c r="G11" s="702">
        <f>huishoudens!F8</f>
        <v>25105.118552560074</v>
      </c>
      <c r="H11" s="702">
        <f>huishoudens!G8</f>
        <v>0</v>
      </c>
      <c r="I11" s="702">
        <f>huishoudens!H8</f>
        <v>0</v>
      </c>
      <c r="J11" s="702">
        <f>huishoudens!I8</f>
        <v>0</v>
      </c>
      <c r="K11" s="702">
        <f>huishoudens!J8</f>
        <v>0</v>
      </c>
      <c r="L11" s="702">
        <f>huishoudens!K8</f>
        <v>0</v>
      </c>
      <c r="M11" s="702">
        <f>huishoudens!L8</f>
        <v>0</v>
      </c>
      <c r="N11" s="702">
        <f>huishoudens!M8</f>
        <v>0</v>
      </c>
      <c r="O11" s="702">
        <f>huishoudens!N8</f>
        <v>7602.801267135208</v>
      </c>
      <c r="P11" s="702">
        <f>huishoudens!O8</f>
        <v>60.970000000000006</v>
      </c>
      <c r="Q11" s="703">
        <f>huishoudens!P8</f>
        <v>171.6</v>
      </c>
      <c r="R11" s="705">
        <f>SUM(C11:Q11)</f>
        <v>81484.0041575129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9642.3030824622783</v>
      </c>
      <c r="D13" s="702">
        <f>industrie!C18</f>
        <v>0</v>
      </c>
      <c r="E13" s="702">
        <f>industrie!D18</f>
        <v>7639.1155362241716</v>
      </c>
      <c r="F13" s="702">
        <f>industrie!E18</f>
        <v>94.941529717525867</v>
      </c>
      <c r="G13" s="702">
        <f>industrie!F18</f>
        <v>1880.7205787857415</v>
      </c>
      <c r="H13" s="702">
        <f>industrie!G18</f>
        <v>0</v>
      </c>
      <c r="I13" s="702">
        <f>industrie!H18</f>
        <v>0</v>
      </c>
      <c r="J13" s="702">
        <f>industrie!I18</f>
        <v>0</v>
      </c>
      <c r="K13" s="702">
        <f>industrie!J18</f>
        <v>38.286586808124106</v>
      </c>
      <c r="L13" s="702">
        <f>industrie!K18</f>
        <v>0</v>
      </c>
      <c r="M13" s="702">
        <f>industrie!L18</f>
        <v>0</v>
      </c>
      <c r="N13" s="702">
        <f>industrie!M18</f>
        <v>0</v>
      </c>
      <c r="O13" s="702">
        <f>industrie!N18</f>
        <v>169.08624988646574</v>
      </c>
      <c r="P13" s="702">
        <f>industrie!O18</f>
        <v>0</v>
      </c>
      <c r="Q13" s="703">
        <f>industrie!P18</f>
        <v>0</v>
      </c>
      <c r="R13" s="705">
        <f>SUM(C13:Q13)</f>
        <v>19464.453563884308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39408.219563958992</v>
      </c>
      <c r="D15" s="707">
        <f t="shared" ref="D15:Q15" ca="1" si="0">SUM(D9:D14)</f>
        <v>0</v>
      </c>
      <c r="E15" s="707">
        <f t="shared" ca="1" si="0"/>
        <v>43835.540681162754</v>
      </c>
      <c r="F15" s="707">
        <f t="shared" si="0"/>
        <v>1989.3739150692593</v>
      </c>
      <c r="G15" s="707">
        <f t="shared" ca="1" si="0"/>
        <v>28431.733270527293</v>
      </c>
      <c r="H15" s="707">
        <f t="shared" si="0"/>
        <v>0</v>
      </c>
      <c r="I15" s="707">
        <f t="shared" si="0"/>
        <v>0</v>
      </c>
      <c r="J15" s="707">
        <f t="shared" si="0"/>
        <v>0</v>
      </c>
      <c r="K15" s="707">
        <f t="shared" si="0"/>
        <v>38.286586808124106</v>
      </c>
      <c r="L15" s="707">
        <f t="shared" si="0"/>
        <v>0</v>
      </c>
      <c r="M15" s="707">
        <f t="shared" ca="1" si="0"/>
        <v>0</v>
      </c>
      <c r="N15" s="707">
        <f t="shared" si="0"/>
        <v>0</v>
      </c>
      <c r="O15" s="707">
        <f t="shared" ca="1" si="0"/>
        <v>8026.9314039780165</v>
      </c>
      <c r="P15" s="707">
        <f t="shared" si="0"/>
        <v>60.970000000000006</v>
      </c>
      <c r="Q15" s="708">
        <f t="shared" si="0"/>
        <v>190.66666666666666</v>
      </c>
      <c r="R15" s="709">
        <f ca="1">SUM(R9:R14)</f>
        <v>121981.72208817111</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663.45326353434132</v>
      </c>
      <c r="I18" s="702">
        <f>transport!H54</f>
        <v>0</v>
      </c>
      <c r="J18" s="702">
        <f>transport!I54</f>
        <v>0</v>
      </c>
      <c r="K18" s="702">
        <f>transport!J54</f>
        <v>0</v>
      </c>
      <c r="L18" s="702">
        <f>transport!K54</f>
        <v>0</v>
      </c>
      <c r="M18" s="702">
        <f>transport!L54</f>
        <v>0</v>
      </c>
      <c r="N18" s="702">
        <f>transport!M54</f>
        <v>28.280130267312384</v>
      </c>
      <c r="O18" s="702">
        <f>transport!N54</f>
        <v>0</v>
      </c>
      <c r="P18" s="702">
        <f>transport!O54</f>
        <v>0</v>
      </c>
      <c r="Q18" s="703">
        <f>transport!P54</f>
        <v>0</v>
      </c>
      <c r="R18" s="705">
        <f>SUM(C18:Q18)</f>
        <v>691.73339380165373</v>
      </c>
      <c r="S18" s="67"/>
    </row>
    <row r="19" spans="1:19" s="457" customFormat="1" ht="15" thickBot="1">
      <c r="A19" s="858" t="s">
        <v>308</v>
      </c>
      <c r="B19" s="863"/>
      <c r="C19" s="711">
        <f>transport!B14</f>
        <v>0.60742842724680324</v>
      </c>
      <c r="D19" s="711">
        <f>transport!C14</f>
        <v>0</v>
      </c>
      <c r="E19" s="711">
        <f>transport!D14</f>
        <v>3.5763534037342062</v>
      </c>
      <c r="F19" s="711">
        <f>transport!E14</f>
        <v>361.06028354362763</v>
      </c>
      <c r="G19" s="711">
        <f>transport!F14</f>
        <v>0</v>
      </c>
      <c r="H19" s="711">
        <f>transport!G14</f>
        <v>68425.89083941681</v>
      </c>
      <c r="I19" s="711">
        <f>transport!H14</f>
        <v>11790.027273464719</v>
      </c>
      <c r="J19" s="711">
        <f>transport!I14</f>
        <v>0</v>
      </c>
      <c r="K19" s="711">
        <f>transport!J14</f>
        <v>0</v>
      </c>
      <c r="L19" s="711">
        <f>transport!K14</f>
        <v>0</v>
      </c>
      <c r="M19" s="711">
        <f>transport!L14</f>
        <v>0</v>
      </c>
      <c r="N19" s="711">
        <f>transport!M14</f>
        <v>3500.2538002721599</v>
      </c>
      <c r="O19" s="711">
        <f>transport!N14</f>
        <v>0</v>
      </c>
      <c r="P19" s="711">
        <f>transport!O14</f>
        <v>0</v>
      </c>
      <c r="Q19" s="712">
        <f>transport!P14</f>
        <v>0</v>
      </c>
      <c r="R19" s="713">
        <f>SUM(C19:Q19)</f>
        <v>84081.415978528283</v>
      </c>
      <c r="S19" s="67"/>
    </row>
    <row r="20" spans="1:19" s="457" customFormat="1" ht="15.75" thickBot="1">
      <c r="A20" s="714" t="s">
        <v>231</v>
      </c>
      <c r="B20" s="866"/>
      <c r="C20" s="861">
        <f>SUM(C17:C19)</f>
        <v>0.60742842724680324</v>
      </c>
      <c r="D20" s="715">
        <f t="shared" ref="D20:R20" si="1">SUM(D17:D19)</f>
        <v>0</v>
      </c>
      <c r="E20" s="715">
        <f t="shared" si="1"/>
        <v>3.5763534037342062</v>
      </c>
      <c r="F20" s="715">
        <f t="shared" si="1"/>
        <v>361.06028354362763</v>
      </c>
      <c r="G20" s="715">
        <f t="shared" si="1"/>
        <v>0</v>
      </c>
      <c r="H20" s="715">
        <f t="shared" si="1"/>
        <v>69089.344102951145</v>
      </c>
      <c r="I20" s="715">
        <f t="shared" si="1"/>
        <v>11790.027273464719</v>
      </c>
      <c r="J20" s="715">
        <f t="shared" si="1"/>
        <v>0</v>
      </c>
      <c r="K20" s="715">
        <f t="shared" si="1"/>
        <v>0</v>
      </c>
      <c r="L20" s="715">
        <f t="shared" si="1"/>
        <v>0</v>
      </c>
      <c r="M20" s="715">
        <f t="shared" si="1"/>
        <v>0</v>
      </c>
      <c r="N20" s="715">
        <f t="shared" si="1"/>
        <v>3528.5339305394723</v>
      </c>
      <c r="O20" s="715">
        <f t="shared" si="1"/>
        <v>0</v>
      </c>
      <c r="P20" s="715">
        <f t="shared" si="1"/>
        <v>0</v>
      </c>
      <c r="Q20" s="716">
        <f t="shared" si="1"/>
        <v>0</v>
      </c>
      <c r="R20" s="717">
        <f t="shared" si="1"/>
        <v>84773.149372329935</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1237.4374569963045</v>
      </c>
      <c r="D22" s="711">
        <f>+landbouw!C8</f>
        <v>0</v>
      </c>
      <c r="E22" s="711">
        <f>+landbouw!D8</f>
        <v>1006.5619640904545</v>
      </c>
      <c r="F22" s="711">
        <f>+landbouw!E8</f>
        <v>12.958712943950077</v>
      </c>
      <c r="G22" s="711">
        <f>+landbouw!F8</f>
        <v>6355.6758092056916</v>
      </c>
      <c r="H22" s="711">
        <f>+landbouw!G8</f>
        <v>0</v>
      </c>
      <c r="I22" s="711">
        <f>+landbouw!H8</f>
        <v>0</v>
      </c>
      <c r="J22" s="711">
        <f>+landbouw!I8</f>
        <v>0</v>
      </c>
      <c r="K22" s="711">
        <f>+landbouw!J8</f>
        <v>110.51425625091157</v>
      </c>
      <c r="L22" s="711">
        <f>+landbouw!K8</f>
        <v>0</v>
      </c>
      <c r="M22" s="711">
        <f>+landbouw!L8</f>
        <v>0</v>
      </c>
      <c r="N22" s="711">
        <f>+landbouw!M8</f>
        <v>0</v>
      </c>
      <c r="O22" s="711">
        <f>+landbouw!N8</f>
        <v>0</v>
      </c>
      <c r="P22" s="711">
        <f>+landbouw!O8</f>
        <v>0</v>
      </c>
      <c r="Q22" s="712">
        <f>+landbouw!P8</f>
        <v>0</v>
      </c>
      <c r="R22" s="713">
        <f>SUM(C22:Q22)</f>
        <v>8723.148199487312</v>
      </c>
      <c r="S22" s="67"/>
    </row>
    <row r="23" spans="1:19" s="457" customFormat="1" ht="17.25" thickTop="1" thickBot="1">
      <c r="A23" s="718" t="s">
        <v>116</v>
      </c>
      <c r="B23" s="852"/>
      <c r="C23" s="719">
        <f ca="1">C20+C15+C22</f>
        <v>40646.264449382543</v>
      </c>
      <c r="D23" s="719">
        <f t="shared" ref="D23:Q23" ca="1" si="2">D20+D15+D22</f>
        <v>0</v>
      </c>
      <c r="E23" s="719">
        <f t="shared" ca="1" si="2"/>
        <v>44845.678998656942</v>
      </c>
      <c r="F23" s="719">
        <f t="shared" si="2"/>
        <v>2363.3929115568371</v>
      </c>
      <c r="G23" s="719">
        <f t="shared" ca="1" si="2"/>
        <v>34787.409079732985</v>
      </c>
      <c r="H23" s="719">
        <f t="shared" si="2"/>
        <v>69089.344102951145</v>
      </c>
      <c r="I23" s="719">
        <f t="shared" si="2"/>
        <v>11790.027273464719</v>
      </c>
      <c r="J23" s="719">
        <f t="shared" si="2"/>
        <v>0</v>
      </c>
      <c r="K23" s="719">
        <f t="shared" si="2"/>
        <v>148.80084305903569</v>
      </c>
      <c r="L23" s="719">
        <f t="shared" si="2"/>
        <v>0</v>
      </c>
      <c r="M23" s="719">
        <f t="shared" ca="1" si="2"/>
        <v>0</v>
      </c>
      <c r="N23" s="719">
        <f t="shared" si="2"/>
        <v>3528.5339305394723</v>
      </c>
      <c r="O23" s="719">
        <f t="shared" ca="1" si="2"/>
        <v>8026.9314039780165</v>
      </c>
      <c r="P23" s="719">
        <f t="shared" si="2"/>
        <v>60.970000000000006</v>
      </c>
      <c r="Q23" s="720">
        <f t="shared" si="2"/>
        <v>190.66666666666666</v>
      </c>
      <c r="R23" s="721">
        <f ca="1">R20+R15+R22</f>
        <v>215478.01965998835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1865.978289299725</v>
      </c>
      <c r="D36" s="702">
        <f ca="1">tertiair!C20</f>
        <v>0</v>
      </c>
      <c r="E36" s="702">
        <f ca="1">tertiair!D20</f>
        <v>2106.7992003624227</v>
      </c>
      <c r="F36" s="702">
        <f>tertiair!E20</f>
        <v>34.864777189960584</v>
      </c>
      <c r="G36" s="702">
        <f ca="1">tertiair!F20</f>
        <v>386.05373516145397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4393.6960020135621</v>
      </c>
    </row>
    <row r="37" spans="1:18">
      <c r="A37" s="873" t="s">
        <v>226</v>
      </c>
      <c r="B37" s="880"/>
      <c r="C37" s="702">
        <f ca="1">huishoudens!B12</f>
        <v>4496.3053633467262</v>
      </c>
      <c r="D37" s="702">
        <f ca="1">huishoudens!C12</f>
        <v>0</v>
      </c>
      <c r="E37" s="702">
        <f>huishoudens!D12</f>
        <v>5204.8786789151718</v>
      </c>
      <c r="F37" s="702">
        <f>huishoudens!E12</f>
        <v>395.17137428488292</v>
      </c>
      <c r="G37" s="702">
        <f>huishoudens!F12</f>
        <v>6703.0666535335404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16799.42207008032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2060.9836526803138</v>
      </c>
      <c r="D39" s="702">
        <f ca="1">industrie!C22</f>
        <v>0</v>
      </c>
      <c r="E39" s="702">
        <f>industrie!D22</f>
        <v>1543.1013383172829</v>
      </c>
      <c r="F39" s="702">
        <f>industrie!E22</f>
        <v>21.551727245878372</v>
      </c>
      <c r="G39" s="702">
        <f>industrie!F22</f>
        <v>502.15239453579301</v>
      </c>
      <c r="H39" s="702">
        <f>industrie!G22</f>
        <v>0</v>
      </c>
      <c r="I39" s="702">
        <f>industrie!H22</f>
        <v>0</v>
      </c>
      <c r="J39" s="702">
        <f>industrie!I22</f>
        <v>0</v>
      </c>
      <c r="K39" s="702">
        <f>industrie!J22</f>
        <v>13.553451730075933</v>
      </c>
      <c r="L39" s="702">
        <f>industrie!K22</f>
        <v>0</v>
      </c>
      <c r="M39" s="702">
        <f>industrie!L22</f>
        <v>0</v>
      </c>
      <c r="N39" s="702">
        <f>industrie!M22</f>
        <v>0</v>
      </c>
      <c r="O39" s="702">
        <f>industrie!N22</f>
        <v>0</v>
      </c>
      <c r="P39" s="702">
        <f>industrie!O22</f>
        <v>0</v>
      </c>
      <c r="Q39" s="812">
        <f>industrie!P22</f>
        <v>0</v>
      </c>
      <c r="R39" s="906">
        <f ca="1">SUM(C39:Q39)</f>
        <v>4141.3425645093439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8423.2673053267645</v>
      </c>
      <c r="D41" s="747">
        <f t="shared" ref="D41:R41" ca="1" si="4">SUM(D35:D40)</f>
        <v>0</v>
      </c>
      <c r="E41" s="747">
        <f t="shared" ca="1" si="4"/>
        <v>8854.779217594878</v>
      </c>
      <c r="F41" s="747">
        <f t="shared" si="4"/>
        <v>451.5878787207219</v>
      </c>
      <c r="G41" s="747">
        <f t="shared" ca="1" si="4"/>
        <v>7591.2727832307874</v>
      </c>
      <c r="H41" s="747">
        <f t="shared" si="4"/>
        <v>0</v>
      </c>
      <c r="I41" s="747">
        <f t="shared" si="4"/>
        <v>0</v>
      </c>
      <c r="J41" s="747">
        <f t="shared" si="4"/>
        <v>0</v>
      </c>
      <c r="K41" s="747">
        <f t="shared" si="4"/>
        <v>13.553451730075933</v>
      </c>
      <c r="L41" s="747">
        <f t="shared" si="4"/>
        <v>0</v>
      </c>
      <c r="M41" s="747">
        <f t="shared" ca="1" si="4"/>
        <v>0</v>
      </c>
      <c r="N41" s="747">
        <f t="shared" si="4"/>
        <v>0</v>
      </c>
      <c r="O41" s="747">
        <f t="shared" ca="1" si="4"/>
        <v>0</v>
      </c>
      <c r="P41" s="747">
        <f t="shared" si="4"/>
        <v>0</v>
      </c>
      <c r="Q41" s="748">
        <f t="shared" si="4"/>
        <v>0</v>
      </c>
      <c r="R41" s="749">
        <f t="shared" ca="1" si="4"/>
        <v>25334.460636603228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177.14202136366913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177.14202136366913</v>
      </c>
    </row>
    <row r="45" spans="1:18" ht="15" thickBot="1">
      <c r="A45" s="876" t="s">
        <v>308</v>
      </c>
      <c r="B45" s="886"/>
      <c r="C45" s="711">
        <f ca="1">transport!B18</f>
        <v>0.12983413278161413</v>
      </c>
      <c r="D45" s="711">
        <f>transport!C18</f>
        <v>0</v>
      </c>
      <c r="E45" s="711">
        <f>transport!D18</f>
        <v>0.72242338755430968</v>
      </c>
      <c r="F45" s="711">
        <f>transport!E18</f>
        <v>81.960684364403477</v>
      </c>
      <c r="G45" s="711">
        <f>transport!F18</f>
        <v>0</v>
      </c>
      <c r="H45" s="711">
        <f>transport!G18</f>
        <v>18269.712854124289</v>
      </c>
      <c r="I45" s="711">
        <f>transport!H18</f>
        <v>2935.7167910927151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21288.242587101744</v>
      </c>
    </row>
    <row r="46" spans="1:18" ht="15.75" thickBot="1">
      <c r="A46" s="874" t="s">
        <v>231</v>
      </c>
      <c r="B46" s="887"/>
      <c r="C46" s="747">
        <f t="shared" ref="C46:R46" ca="1" si="5">SUM(C43:C45)</f>
        <v>0.12983413278161413</v>
      </c>
      <c r="D46" s="747">
        <f t="shared" ca="1" si="5"/>
        <v>0</v>
      </c>
      <c r="E46" s="747">
        <f t="shared" si="5"/>
        <v>0.72242338755430968</v>
      </c>
      <c r="F46" s="747">
        <f t="shared" si="5"/>
        <v>81.960684364403477</v>
      </c>
      <c r="G46" s="747">
        <f t="shared" si="5"/>
        <v>0</v>
      </c>
      <c r="H46" s="747">
        <f t="shared" si="5"/>
        <v>18446.854875487959</v>
      </c>
      <c r="I46" s="747">
        <f t="shared" si="5"/>
        <v>2935.7167910927151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21465.384608465414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264.49473204408156</v>
      </c>
      <c r="D48" s="702">
        <f ca="1">+landbouw!C12</f>
        <v>0</v>
      </c>
      <c r="E48" s="702">
        <f>+landbouw!D12</f>
        <v>203.3255167462718</v>
      </c>
      <c r="F48" s="702">
        <f>+landbouw!E12</f>
        <v>2.9416278382766676</v>
      </c>
      <c r="G48" s="702">
        <f>+landbouw!F12</f>
        <v>1696.9654410579199</v>
      </c>
      <c r="H48" s="702">
        <f>+landbouw!G12</f>
        <v>0</v>
      </c>
      <c r="I48" s="702">
        <f>+landbouw!H12</f>
        <v>0</v>
      </c>
      <c r="J48" s="702">
        <f>+landbouw!I12</f>
        <v>0</v>
      </c>
      <c r="K48" s="702">
        <f>+landbouw!J12</f>
        <v>39.122046712822694</v>
      </c>
      <c r="L48" s="702">
        <f>+landbouw!K12</f>
        <v>0</v>
      </c>
      <c r="M48" s="702">
        <f>+landbouw!L12</f>
        <v>0</v>
      </c>
      <c r="N48" s="702">
        <f>+landbouw!M12</f>
        <v>0</v>
      </c>
      <c r="O48" s="702">
        <f>+landbouw!N12</f>
        <v>0</v>
      </c>
      <c r="P48" s="702">
        <f>+landbouw!O12</f>
        <v>0</v>
      </c>
      <c r="Q48" s="703">
        <f>+landbouw!P12</f>
        <v>0</v>
      </c>
      <c r="R48" s="745">
        <f ca="1">SUM(C48:Q48)</f>
        <v>2206.8493643993729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8687.8918715036289</v>
      </c>
      <c r="D53" s="757">
        <f t="shared" ref="D53:Q53" ca="1" si="6">D41+D46+D48</f>
        <v>0</v>
      </c>
      <c r="E53" s="757">
        <f t="shared" ca="1" si="6"/>
        <v>9058.8271577287051</v>
      </c>
      <c r="F53" s="757">
        <f t="shared" si="6"/>
        <v>536.490190923402</v>
      </c>
      <c r="G53" s="757">
        <f t="shared" ca="1" si="6"/>
        <v>9288.238224288707</v>
      </c>
      <c r="H53" s="757">
        <f t="shared" si="6"/>
        <v>18446.854875487959</v>
      </c>
      <c r="I53" s="757">
        <f t="shared" si="6"/>
        <v>2935.7167910927151</v>
      </c>
      <c r="J53" s="757">
        <f t="shared" si="6"/>
        <v>0</v>
      </c>
      <c r="K53" s="757">
        <f t="shared" si="6"/>
        <v>52.675498442898629</v>
      </c>
      <c r="L53" s="757">
        <f t="shared" si="6"/>
        <v>0</v>
      </c>
      <c r="M53" s="757">
        <f t="shared" ca="1" si="6"/>
        <v>0</v>
      </c>
      <c r="N53" s="757">
        <f t="shared" si="6"/>
        <v>0</v>
      </c>
      <c r="O53" s="757">
        <f t="shared" ca="1" si="6"/>
        <v>0</v>
      </c>
      <c r="P53" s="757">
        <f>P41+P46+P48</f>
        <v>0</v>
      </c>
      <c r="Q53" s="758">
        <f t="shared" si="6"/>
        <v>0</v>
      </c>
      <c r="R53" s="759">
        <f ca="1">R41+R46+R48</f>
        <v>49006.694609468017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0.21374391937844134</v>
      </c>
      <c r="D55" s="823">
        <f t="shared" ca="1" si="7"/>
        <v>0</v>
      </c>
      <c r="E55" s="823">
        <f t="shared" ca="1" si="7"/>
        <v>0.20200000000000007</v>
      </c>
      <c r="F55" s="823">
        <f t="shared" si="7"/>
        <v>0.22699999999999998</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1334.5365240267561</v>
      </c>
      <c r="C66" s="779">
        <f>'lokale energieproductie'!B6</f>
        <v>1334.5365240267561</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1334.5365240267561</v>
      </c>
      <c r="C69" s="787">
        <f>SUM(C64:C68)</f>
        <v>1334.5365240267561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21035.945146050472</v>
      </c>
      <c r="C4" s="461">
        <f>huishoudens!C8</f>
        <v>0</v>
      </c>
      <c r="D4" s="461">
        <f>huishoudens!D8</f>
        <v>25766.726133243421</v>
      </c>
      <c r="E4" s="461">
        <f>huishoudens!E8</f>
        <v>1740.8430585237134</v>
      </c>
      <c r="F4" s="461">
        <f>huishoudens!F8</f>
        <v>25105.118552560074</v>
      </c>
      <c r="G4" s="461">
        <f>huishoudens!G8</f>
        <v>0</v>
      </c>
      <c r="H4" s="461">
        <f>huishoudens!H8</f>
        <v>0</v>
      </c>
      <c r="I4" s="461">
        <f>huishoudens!I8</f>
        <v>0</v>
      </c>
      <c r="J4" s="461">
        <f>huishoudens!J8</f>
        <v>0</v>
      </c>
      <c r="K4" s="461">
        <f>huishoudens!K8</f>
        <v>0</v>
      </c>
      <c r="L4" s="461">
        <f>huishoudens!L8</f>
        <v>0</v>
      </c>
      <c r="M4" s="461">
        <f>huishoudens!M8</f>
        <v>0</v>
      </c>
      <c r="N4" s="461">
        <f>huishoudens!N8</f>
        <v>7602.801267135208</v>
      </c>
      <c r="O4" s="461">
        <f>huishoudens!O8</f>
        <v>60.970000000000006</v>
      </c>
      <c r="P4" s="462">
        <f>huishoudens!P8</f>
        <v>171.6</v>
      </c>
      <c r="Q4" s="463">
        <f>SUM(B4:P4)</f>
        <v>81484.0041575129</v>
      </c>
    </row>
    <row r="5" spans="1:17">
      <c r="A5" s="460" t="s">
        <v>156</v>
      </c>
      <c r="B5" s="461">
        <f ca="1">tertiair!B16</f>
        <v>7886.2283354462397</v>
      </c>
      <c r="C5" s="461">
        <f ca="1">tertiair!C16</f>
        <v>0</v>
      </c>
      <c r="D5" s="461">
        <f ca="1">tertiair!D16</f>
        <v>10429.699011695162</v>
      </c>
      <c r="E5" s="461">
        <f>tertiair!E16</f>
        <v>153.58932682802021</v>
      </c>
      <c r="F5" s="461">
        <f ca="1">tertiair!F16</f>
        <v>1445.8941391814756</v>
      </c>
      <c r="G5" s="461">
        <f>tertiair!G16</f>
        <v>0</v>
      </c>
      <c r="H5" s="461">
        <f>tertiair!H16</f>
        <v>0</v>
      </c>
      <c r="I5" s="461">
        <f>tertiair!I16</f>
        <v>0</v>
      </c>
      <c r="J5" s="461">
        <f>tertiair!J16</f>
        <v>0</v>
      </c>
      <c r="K5" s="461">
        <f>tertiair!K16</f>
        <v>0</v>
      </c>
      <c r="L5" s="461">
        <f ca="1">tertiair!L16</f>
        <v>0</v>
      </c>
      <c r="M5" s="461">
        <f>tertiair!M16</f>
        <v>0</v>
      </c>
      <c r="N5" s="461">
        <f ca="1">tertiair!N16</f>
        <v>255.04388695634316</v>
      </c>
      <c r="O5" s="461">
        <f>tertiair!O16</f>
        <v>0</v>
      </c>
      <c r="P5" s="462">
        <f>tertiair!P16</f>
        <v>19.066666666666666</v>
      </c>
      <c r="Q5" s="460">
        <f t="shared" ref="Q5:Q13" ca="1" si="0">SUM(B5:P5)</f>
        <v>20189.521366773908</v>
      </c>
    </row>
    <row r="6" spans="1:17">
      <c r="A6" s="460" t="s">
        <v>195</v>
      </c>
      <c r="B6" s="461">
        <f>'openbare verlichting'!B8</f>
        <v>843.74300000000005</v>
      </c>
      <c r="C6" s="461"/>
      <c r="D6" s="461"/>
      <c r="E6" s="461"/>
      <c r="F6" s="461"/>
      <c r="G6" s="461"/>
      <c r="H6" s="461"/>
      <c r="I6" s="461"/>
      <c r="J6" s="461"/>
      <c r="K6" s="461"/>
      <c r="L6" s="461"/>
      <c r="M6" s="461"/>
      <c r="N6" s="461"/>
      <c r="O6" s="461"/>
      <c r="P6" s="462"/>
      <c r="Q6" s="460">
        <f t="shared" si="0"/>
        <v>843.74300000000005</v>
      </c>
    </row>
    <row r="7" spans="1:17">
      <c r="A7" s="460" t="s">
        <v>112</v>
      </c>
      <c r="B7" s="461">
        <f>landbouw!B8</f>
        <v>1237.4374569963045</v>
      </c>
      <c r="C7" s="461">
        <f>landbouw!C8</f>
        <v>0</v>
      </c>
      <c r="D7" s="461">
        <f>landbouw!D8</f>
        <v>1006.5619640904545</v>
      </c>
      <c r="E7" s="461">
        <f>landbouw!E8</f>
        <v>12.958712943950077</v>
      </c>
      <c r="F7" s="461">
        <f>landbouw!F8</f>
        <v>6355.6758092056916</v>
      </c>
      <c r="G7" s="461">
        <f>landbouw!G8</f>
        <v>0</v>
      </c>
      <c r="H7" s="461">
        <f>landbouw!H8</f>
        <v>0</v>
      </c>
      <c r="I7" s="461">
        <f>landbouw!I8</f>
        <v>0</v>
      </c>
      <c r="J7" s="461">
        <f>landbouw!J8</f>
        <v>110.51425625091157</v>
      </c>
      <c r="K7" s="461">
        <f>landbouw!K8</f>
        <v>0</v>
      </c>
      <c r="L7" s="461">
        <f>landbouw!L8</f>
        <v>0</v>
      </c>
      <c r="M7" s="461">
        <f>landbouw!M8</f>
        <v>0</v>
      </c>
      <c r="N7" s="461">
        <f>landbouw!N8</f>
        <v>0</v>
      </c>
      <c r="O7" s="461">
        <f>landbouw!O8</f>
        <v>0</v>
      </c>
      <c r="P7" s="462">
        <f>landbouw!P8</f>
        <v>0</v>
      </c>
      <c r="Q7" s="460">
        <f t="shared" si="0"/>
        <v>8723.148199487312</v>
      </c>
    </row>
    <row r="8" spans="1:17">
      <c r="A8" s="460" t="s">
        <v>656</v>
      </c>
      <c r="B8" s="461">
        <f>industrie!B18</f>
        <v>9642.3030824622783</v>
      </c>
      <c r="C8" s="461">
        <f>industrie!C18</f>
        <v>0</v>
      </c>
      <c r="D8" s="461">
        <f>industrie!D18</f>
        <v>7639.1155362241716</v>
      </c>
      <c r="E8" s="461">
        <f>industrie!E18</f>
        <v>94.941529717525867</v>
      </c>
      <c r="F8" s="461">
        <f>industrie!F18</f>
        <v>1880.7205787857415</v>
      </c>
      <c r="G8" s="461">
        <f>industrie!G18</f>
        <v>0</v>
      </c>
      <c r="H8" s="461">
        <f>industrie!H18</f>
        <v>0</v>
      </c>
      <c r="I8" s="461">
        <f>industrie!I18</f>
        <v>0</v>
      </c>
      <c r="J8" s="461">
        <f>industrie!J18</f>
        <v>38.286586808124106</v>
      </c>
      <c r="K8" s="461">
        <f>industrie!K18</f>
        <v>0</v>
      </c>
      <c r="L8" s="461">
        <f>industrie!L18</f>
        <v>0</v>
      </c>
      <c r="M8" s="461">
        <f>industrie!M18</f>
        <v>0</v>
      </c>
      <c r="N8" s="461">
        <f>industrie!N18</f>
        <v>169.08624988646574</v>
      </c>
      <c r="O8" s="461">
        <f>industrie!O18</f>
        <v>0</v>
      </c>
      <c r="P8" s="462">
        <f>industrie!P18</f>
        <v>0</v>
      </c>
      <c r="Q8" s="460">
        <f t="shared" si="0"/>
        <v>19464.453563884308</v>
      </c>
    </row>
    <row r="9" spans="1:17" s="466" customFormat="1">
      <c r="A9" s="464" t="s">
        <v>574</v>
      </c>
      <c r="B9" s="465">
        <f>transport!B14</f>
        <v>0.60742842724680324</v>
      </c>
      <c r="C9" s="465"/>
      <c r="D9" s="465">
        <f>transport!D14</f>
        <v>3.5763534037342062</v>
      </c>
      <c r="E9" s="465">
        <f>transport!E14</f>
        <v>361.06028354362763</v>
      </c>
      <c r="F9" s="465"/>
      <c r="G9" s="465">
        <f>transport!G14</f>
        <v>68425.89083941681</v>
      </c>
      <c r="H9" s="465">
        <f>transport!H14</f>
        <v>11790.027273464719</v>
      </c>
      <c r="I9" s="465"/>
      <c r="J9" s="465"/>
      <c r="K9" s="465"/>
      <c r="L9" s="465"/>
      <c r="M9" s="465">
        <f>transport!M14</f>
        <v>3500.2538002721599</v>
      </c>
      <c r="N9" s="465"/>
      <c r="O9" s="465"/>
      <c r="P9" s="465"/>
      <c r="Q9" s="464">
        <f>SUM(B9:P9)</f>
        <v>84081.415978528283</v>
      </c>
    </row>
    <row r="10" spans="1:17">
      <c r="A10" s="460" t="s">
        <v>564</v>
      </c>
      <c r="B10" s="461">
        <f>transport!B54</f>
        <v>0</v>
      </c>
      <c r="C10" s="461"/>
      <c r="D10" s="461">
        <f>transport!D54</f>
        <v>0</v>
      </c>
      <c r="E10" s="461"/>
      <c r="F10" s="461"/>
      <c r="G10" s="461">
        <f>transport!G54</f>
        <v>663.45326353434132</v>
      </c>
      <c r="H10" s="461"/>
      <c r="I10" s="461"/>
      <c r="J10" s="461"/>
      <c r="K10" s="461"/>
      <c r="L10" s="461"/>
      <c r="M10" s="461">
        <f>transport!M54</f>
        <v>28.280130267312384</v>
      </c>
      <c r="N10" s="461"/>
      <c r="O10" s="461"/>
      <c r="P10" s="462"/>
      <c r="Q10" s="460">
        <f t="shared" si="0"/>
        <v>691.73339380165373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40646.264449382543</v>
      </c>
      <c r="C14" s="471">
        <f t="shared" ref="C14:Q14" ca="1" si="1">SUM(C4:C13)</f>
        <v>0</v>
      </c>
      <c r="D14" s="471">
        <f t="shared" ca="1" si="1"/>
        <v>44845.678998656942</v>
      </c>
      <c r="E14" s="471">
        <f t="shared" si="1"/>
        <v>2363.3929115568371</v>
      </c>
      <c r="F14" s="471">
        <f t="shared" ca="1" si="1"/>
        <v>34787.409079732985</v>
      </c>
      <c r="G14" s="471">
        <f t="shared" si="1"/>
        <v>69089.344102951145</v>
      </c>
      <c r="H14" s="471">
        <f t="shared" si="1"/>
        <v>11790.027273464719</v>
      </c>
      <c r="I14" s="471">
        <f t="shared" si="1"/>
        <v>0</v>
      </c>
      <c r="J14" s="471">
        <f t="shared" si="1"/>
        <v>148.80084305903569</v>
      </c>
      <c r="K14" s="471">
        <f t="shared" si="1"/>
        <v>0</v>
      </c>
      <c r="L14" s="471">
        <f t="shared" ca="1" si="1"/>
        <v>0</v>
      </c>
      <c r="M14" s="471">
        <f t="shared" si="1"/>
        <v>3528.5339305394723</v>
      </c>
      <c r="N14" s="471">
        <f t="shared" ca="1" si="1"/>
        <v>8026.9314039780165</v>
      </c>
      <c r="O14" s="471">
        <f t="shared" si="1"/>
        <v>60.970000000000006</v>
      </c>
      <c r="P14" s="472">
        <f t="shared" si="1"/>
        <v>190.66666666666666</v>
      </c>
      <c r="Q14" s="472">
        <f t="shared" ca="1" si="1"/>
        <v>215478.01965998841</v>
      </c>
    </row>
    <row r="16" spans="1:17">
      <c r="A16" s="474" t="s">
        <v>569</v>
      </c>
      <c r="B16" s="828">
        <f ca="1">huishoudens!B10</f>
        <v>0.21374391937844134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4496.3053633467262</v>
      </c>
      <c r="C21" s="461">
        <f t="shared" ref="C21:C28" ca="1" si="3">C4*$C$16</f>
        <v>0</v>
      </c>
      <c r="D21" s="461">
        <f t="shared" ref="D21:D30" si="4">D4*$D$16</f>
        <v>5204.8786789151718</v>
      </c>
      <c r="E21" s="461">
        <f t="shared" ref="E21:E30" si="5">E4*$E$16</f>
        <v>395.17137428488292</v>
      </c>
      <c r="F21" s="461">
        <f t="shared" ref="F21:F28" si="6">F4*$F$16</f>
        <v>6703.0666535335404</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16799.42207008032</v>
      </c>
    </row>
    <row r="22" spans="1:17">
      <c r="A22" s="460" t="s">
        <v>156</v>
      </c>
      <c r="B22" s="461">
        <f t="shared" ca="1" si="2"/>
        <v>1685.6333535316007</v>
      </c>
      <c r="C22" s="461">
        <f t="shared" ca="1" si="3"/>
        <v>0</v>
      </c>
      <c r="D22" s="461">
        <f t="shared" ca="1" si="4"/>
        <v>2106.7992003624227</v>
      </c>
      <c r="E22" s="461">
        <f t="shared" si="5"/>
        <v>34.864777189960584</v>
      </c>
      <c r="F22" s="461">
        <f t="shared" ca="1" si="6"/>
        <v>386.05373516145397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4213.3510662454382</v>
      </c>
    </row>
    <row r="23" spans="1:17">
      <c r="A23" s="460" t="s">
        <v>195</v>
      </c>
      <c r="B23" s="461">
        <f t="shared" ca="1" si="2"/>
        <v>180.34493576812423</v>
      </c>
      <c r="C23" s="461"/>
      <c r="D23" s="461"/>
      <c r="E23" s="461"/>
      <c r="F23" s="461"/>
      <c r="G23" s="461"/>
      <c r="H23" s="461"/>
      <c r="I23" s="461"/>
      <c r="J23" s="461"/>
      <c r="K23" s="461"/>
      <c r="L23" s="461"/>
      <c r="M23" s="461"/>
      <c r="N23" s="461"/>
      <c r="O23" s="461"/>
      <c r="P23" s="462"/>
      <c r="Q23" s="460">
        <f t="shared" ca="1" si="17"/>
        <v>180.34493576812423</v>
      </c>
    </row>
    <row r="24" spans="1:17">
      <c r="A24" s="460" t="s">
        <v>112</v>
      </c>
      <c r="B24" s="461">
        <f t="shared" ca="1" si="2"/>
        <v>264.49473204408156</v>
      </c>
      <c r="C24" s="461">
        <f t="shared" ca="1" si="3"/>
        <v>0</v>
      </c>
      <c r="D24" s="461">
        <f t="shared" si="4"/>
        <v>203.3255167462718</v>
      </c>
      <c r="E24" s="461">
        <f t="shared" si="5"/>
        <v>2.9416278382766676</v>
      </c>
      <c r="F24" s="461">
        <f t="shared" si="6"/>
        <v>1696.9654410579199</v>
      </c>
      <c r="G24" s="461">
        <f t="shared" si="7"/>
        <v>0</v>
      </c>
      <c r="H24" s="461">
        <f t="shared" si="8"/>
        <v>0</v>
      </c>
      <c r="I24" s="461">
        <f t="shared" si="9"/>
        <v>0</v>
      </c>
      <c r="J24" s="461">
        <f t="shared" si="10"/>
        <v>39.122046712822694</v>
      </c>
      <c r="K24" s="461">
        <f t="shared" si="11"/>
        <v>0</v>
      </c>
      <c r="L24" s="461">
        <f t="shared" si="12"/>
        <v>0</v>
      </c>
      <c r="M24" s="461">
        <f t="shared" si="13"/>
        <v>0</v>
      </c>
      <c r="N24" s="461">
        <f t="shared" si="14"/>
        <v>0</v>
      </c>
      <c r="O24" s="461">
        <f t="shared" si="15"/>
        <v>0</v>
      </c>
      <c r="P24" s="462">
        <f t="shared" si="16"/>
        <v>0</v>
      </c>
      <c r="Q24" s="460">
        <f t="shared" ca="1" si="17"/>
        <v>2206.8493643993729</v>
      </c>
    </row>
    <row r="25" spans="1:17">
      <c r="A25" s="460" t="s">
        <v>656</v>
      </c>
      <c r="B25" s="461">
        <f t="shared" ca="1" si="2"/>
        <v>2060.9836526803138</v>
      </c>
      <c r="C25" s="461">
        <f t="shared" ca="1" si="3"/>
        <v>0</v>
      </c>
      <c r="D25" s="461">
        <f t="shared" si="4"/>
        <v>1543.1013383172829</v>
      </c>
      <c r="E25" s="461">
        <f t="shared" si="5"/>
        <v>21.551727245878372</v>
      </c>
      <c r="F25" s="461">
        <f t="shared" si="6"/>
        <v>502.15239453579301</v>
      </c>
      <c r="G25" s="461">
        <f t="shared" si="7"/>
        <v>0</v>
      </c>
      <c r="H25" s="461">
        <f t="shared" si="8"/>
        <v>0</v>
      </c>
      <c r="I25" s="461">
        <f t="shared" si="9"/>
        <v>0</v>
      </c>
      <c r="J25" s="461">
        <f t="shared" si="10"/>
        <v>13.553451730075933</v>
      </c>
      <c r="K25" s="461">
        <f t="shared" si="11"/>
        <v>0</v>
      </c>
      <c r="L25" s="461">
        <f t="shared" si="12"/>
        <v>0</v>
      </c>
      <c r="M25" s="461">
        <f t="shared" si="13"/>
        <v>0</v>
      </c>
      <c r="N25" s="461">
        <f t="shared" si="14"/>
        <v>0</v>
      </c>
      <c r="O25" s="461">
        <f t="shared" si="15"/>
        <v>0</v>
      </c>
      <c r="P25" s="462">
        <f t="shared" si="16"/>
        <v>0</v>
      </c>
      <c r="Q25" s="460">
        <f t="shared" ca="1" si="17"/>
        <v>4141.3425645093439</v>
      </c>
    </row>
    <row r="26" spans="1:17" s="466" customFormat="1">
      <c r="A26" s="464" t="s">
        <v>574</v>
      </c>
      <c r="B26" s="822">
        <f t="shared" ca="1" si="2"/>
        <v>0.12983413278161413</v>
      </c>
      <c r="C26" s="465"/>
      <c r="D26" s="465">
        <f t="shared" si="4"/>
        <v>0.72242338755430968</v>
      </c>
      <c r="E26" s="465">
        <f t="shared" si="5"/>
        <v>81.960684364403477</v>
      </c>
      <c r="F26" s="465"/>
      <c r="G26" s="465">
        <f t="shared" si="7"/>
        <v>18269.712854124289</v>
      </c>
      <c r="H26" s="465">
        <f t="shared" si="8"/>
        <v>2935.7167910927151</v>
      </c>
      <c r="I26" s="465"/>
      <c r="J26" s="465"/>
      <c r="K26" s="465"/>
      <c r="L26" s="465"/>
      <c r="M26" s="465">
        <f t="shared" si="13"/>
        <v>0</v>
      </c>
      <c r="N26" s="465"/>
      <c r="O26" s="465"/>
      <c r="P26" s="476"/>
      <c r="Q26" s="464">
        <f t="shared" ca="1" si="17"/>
        <v>21288.242587101744</v>
      </c>
    </row>
    <row r="27" spans="1:17">
      <c r="A27" s="460" t="s">
        <v>564</v>
      </c>
      <c r="B27" s="461">
        <f t="shared" ca="1" si="2"/>
        <v>0</v>
      </c>
      <c r="C27" s="461"/>
      <c r="D27" s="465">
        <f>D10*$D$16</f>
        <v>0</v>
      </c>
      <c r="E27" s="461"/>
      <c r="F27" s="461"/>
      <c r="G27" s="461">
        <f t="shared" si="7"/>
        <v>177.14202136366913</v>
      </c>
      <c r="H27" s="461"/>
      <c r="I27" s="461"/>
      <c r="J27" s="461"/>
      <c r="K27" s="461"/>
      <c r="L27" s="461"/>
      <c r="M27" s="461">
        <f t="shared" si="13"/>
        <v>0</v>
      </c>
      <c r="N27" s="461"/>
      <c r="O27" s="461"/>
      <c r="P27" s="462"/>
      <c r="Q27" s="460">
        <f t="shared" ca="1" si="17"/>
        <v>177.14202136366913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8687.891871503627</v>
      </c>
      <c r="C31" s="471">
        <f t="shared" ca="1" si="18"/>
        <v>0</v>
      </c>
      <c r="D31" s="471">
        <f t="shared" ca="1" si="18"/>
        <v>9058.8271577287051</v>
      </c>
      <c r="E31" s="471">
        <f t="shared" si="18"/>
        <v>536.490190923402</v>
      </c>
      <c r="F31" s="471">
        <f t="shared" ca="1" si="18"/>
        <v>9288.238224288707</v>
      </c>
      <c r="G31" s="471">
        <f t="shared" si="18"/>
        <v>18446.854875487959</v>
      </c>
      <c r="H31" s="471">
        <f t="shared" si="18"/>
        <v>2935.7167910927151</v>
      </c>
      <c r="I31" s="471">
        <f t="shared" si="18"/>
        <v>0</v>
      </c>
      <c r="J31" s="471">
        <f t="shared" si="18"/>
        <v>52.675498442898629</v>
      </c>
      <c r="K31" s="471">
        <f t="shared" si="18"/>
        <v>0</v>
      </c>
      <c r="L31" s="471">
        <f t="shared" ca="1" si="18"/>
        <v>0</v>
      </c>
      <c r="M31" s="471">
        <f t="shared" si="18"/>
        <v>0</v>
      </c>
      <c r="N31" s="471">
        <f t="shared" ca="1" si="18"/>
        <v>0</v>
      </c>
      <c r="O31" s="471">
        <f t="shared" si="18"/>
        <v>0</v>
      </c>
      <c r="P31" s="472">
        <f t="shared" si="18"/>
        <v>0</v>
      </c>
      <c r="Q31" s="472">
        <f t="shared" ca="1" si="18"/>
        <v>49006.69460946801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0.21374391937844134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0.21374391937844134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0.21374391937844134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2018-12-05T15:57:51Z</dcterms:modified>
</cp:coreProperties>
</file>