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E22" i="14" s="1"/>
  <c r="O80"/>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E101" l="1"/>
  <c r="E16" s="1"/>
  <c r="F78" i="14" s="1"/>
  <c r="O78" s="1"/>
  <c r="H100" i="18"/>
  <c r="J7" s="1"/>
  <c r="D101"/>
  <c r="D7" i="48"/>
  <c r="D24" s="1"/>
  <c r="H17" i="14"/>
  <c r="B100" i="18"/>
  <c r="C7" s="1"/>
  <c r="G100"/>
  <c r="G101"/>
  <c r="G31" i="20"/>
  <c r="H43" i="14" s="1"/>
  <c r="F101" i="18"/>
  <c r="D13" i="14"/>
  <c r="D15" s="1"/>
  <c r="J12" i="17"/>
  <c r="K48" i="14" s="1"/>
  <c r="E100" i="18"/>
  <c r="E7" s="1"/>
  <c r="F67" i="14" s="1"/>
  <c r="F69" s="1"/>
  <c r="D100" i="18"/>
  <c r="H101"/>
  <c r="H19"/>
  <c r="G13" i="48"/>
  <c r="G30" s="1"/>
  <c r="C100" i="18"/>
  <c r="D16" i="15"/>
  <c r="E9" i="18"/>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C5" i="48"/>
  <c r="F81" i="14" l="1"/>
  <c r="E12" i="17"/>
  <c r="F48" i="14" s="1"/>
  <c r="J16" i="18"/>
  <c r="E19"/>
  <c r="I16"/>
  <c r="C9"/>
  <c r="D67" i="14"/>
  <c r="Q13" i="48"/>
  <c r="E7"/>
  <c r="E24" s="1"/>
  <c r="C14"/>
  <c r="M16" i="18"/>
  <c r="M19" s="1"/>
  <c r="O81" i="14"/>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K78" i="14" l="1"/>
  <c r="K81" s="1"/>
  <c r="J19" i="18"/>
  <c r="Q7" i="48"/>
  <c r="J78" i="14"/>
  <c r="I19" i="18"/>
  <c r="D69" i="14"/>
  <c r="O67"/>
  <c r="D14" i="48"/>
  <c r="N19" i="14"/>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C78" l="1"/>
  <c r="C81" s="1"/>
  <c r="J8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<sst xmlns="http://schemas.openxmlformats.org/spreadsheetml/2006/main" count="2225" uniqueCount="938">
  <si>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</si>
  <si>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</si>
  <si>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</si>
  <si>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</si>
  <si>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</si>
  <si>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</si>
  <si>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</si>
  <si>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</si>
  <si>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</si>
  <si>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</si>
  <si>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</si>
  <si>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</si>
  <si>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</si>
  <si>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</si>
  <si>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</si>
  <si>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</si>
  <si>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</si>
  <si>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</si>
  <si>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</si>
  <si>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</si>
  <si>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</si>
  <si>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</si>
  <si>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</si>
  <si>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</si>
  <si>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</si>
  <si>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</si>
  <si>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</si>
  <si>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</si>
  <si>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</si>
  <si>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</si>
  <si>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</si>
  <si>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</si>
  <si>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</si>
  <si>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</si>
  <si>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</si>
  <si>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</si>
  <si>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</si>
  <si>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</si>
  <si>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</si>
  <si>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</si>
  <si>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</si>
  <si>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</si>
  <si>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</si>
  <si>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</si>
  <si>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</si>
  <si>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</si>
  <si>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</si>
  <si>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</si>
  <si>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</si>
  <si>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</si>
  <si>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</si>
  <si>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</si>
  <si>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</si>
  <si>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</si>
  <si>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</si>
  <si>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</si>
  <si>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</si>
  <si>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</si>
  <si>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</si>
  <si>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</si>
  <si>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</si>
  <si>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</si>
  <si>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</si>
  <si>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</si>
  <si>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</si>
  <si>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</si>
  <si>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</si>
  <si>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</si>
  <si>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</si>
  <si>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</si>
  <si>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</si>
  <si>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</si>
  <si>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</si>
  <si>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</si>
  <si>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</si>
  <si>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</si>
  <si>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</si>
  <si>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</si>
  <si>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</si>
  <si>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</si>
  <si>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</si>
  <si>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</si>
  <si>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</si>
  <si>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</si>
  <si>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</si>
  <si>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</si>
  <si>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</si>
  <si>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</si>
  <si>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</si>
  <si>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</si>
  <si>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</si>
  <si>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</si>
  <si>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</si>
  <si>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</si>
  <si>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</si>
  <si>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</si>
  <si>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</si>
  <si>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</si>
  <si>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</si>
  <si>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</si>
  <si>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</si>
  <si>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</si>
  <si>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</si>
  <si>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</si>
  <si>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</si>
  <si>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</si>
  <si>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</si>
  <si>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</si>
  <si>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</si>
  <si>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</si>
  <si>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</si>
  <si>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</si>
  <si>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</si>
  <si>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</si>
  <si>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</si>
  <si>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</si>
  <si>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</si>
  <si>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</si>
  <si>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</si>
  <si>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</si>
  <si>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</si>
  <si>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</si>
  <si>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</si>
  <si>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</si>
  <si>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</si>
  <si>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</si>
  <si>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</si>
  <si>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</si>
  <si>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</si>
  <si>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</si>
  <si>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</si>
  <si>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</si>
  <si>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</si>
  <si>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</si>
  <si>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</si>
  <si>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</si>
  <si>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</si>
  <si>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</si>
  <si>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</si>
  <si>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</si>
  <si>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</si>
  <si>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</si>
  <si>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</si>
  <si>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</si>
  <si>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</si>
  <si>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</si>
  <si>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</si>
  <si>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</si>
  <si>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</si>
  <si>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</si>
  <si>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</si>
  <si>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</si>
  <si>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</si>
  <si>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</si>
  <si>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</si>
  <si>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</si>
  <si>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</si>
  <si>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</si>
  <si>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</si>
  <si>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</si>
  <si>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</si>
  <si>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</si>
  <si>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</si>
  <si>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</si>
  <si>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</si>
  <si>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</si>
  <si>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</si>
  <si>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</si>
  <si>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</si>
  <si>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</si>
  <si>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</si>
  <si>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</si>
  <si>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</si>
  <si>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</si>
  <si>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</si>
  <si>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</si>
  <si>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</si>
  <si>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</si>
  <si>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</si>
  <si>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</si>
  <si>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</si>
  <si>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</si>
  <si>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</si>
  <si>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</si>
  <si>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</si>
  <si>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</si>
  <si>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</si>
  <si>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</si>
  <si>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</si>
  <si>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</si>
  <si>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</si>
  <si>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</si>
  <si>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</si>
  <si>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</si>
  <si>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</si>
  <si>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</si>
  <si>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</si>
  <si>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</si>
  <si>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</si>
  <si>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</si>
  <si>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</si>
  <si>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</si>
  <si>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</si>
  <si>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</si>
  <si>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</si>
  <si>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</si>
  <si>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</si>
  <si>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</si>
  <si>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</si>
  <si>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</si>
  <si>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</si>
  <si>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</si>
  <si>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</si>
  <si>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</si>
  <si>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</si>
  <si>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</si>
  <si>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</si>
  <si>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</si>
  <si>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</si>
  <si>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</si>
  <si>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</si>
  <si>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</si>
  <si>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</si>
  <si>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</si>
  <si>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</si>
  <si>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</si>
  <si>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</si>
  <si>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</si>
  <si>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</si>
  <si>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</si>
  <si>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</si>
  <si>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</si>
  <si>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</si>
  <si>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</si>
  <si>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</si>
  <si>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</si>
  <si>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</si>
  <si>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</si>
  <si>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</si>
  <si>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</si>
  <si>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</si>
  <si>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</si>
  <si>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</si>
  <si>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</si>
  <si>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</si>
  <si>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</si>
  <si>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</si>
  <si>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</si>
  <si>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</si>
  <si>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</si>
  <si>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</si>
  <si>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</si>
  <si>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</si>
  <si>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</si>
  <si>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</si>
  <si>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</si>
  <si>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</si>
  <si>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</si>
  <si>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</si>
  <si>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</si>
  <si>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</si>
  <si>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</si>
  <si>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</si>
  <si>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</si>
  <si>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</si>
  <si>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</si>
  <si>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</si>
  <si>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</si>
  <si>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</si>
  <si>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</si>
  <si>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</si>
  <si>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</si>
  <si>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</si>
  <si>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</si>
  <si>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</si>
  <si>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</si>
  <si>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</si>
  <si>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</si>
  <si>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</si>
  <si>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</si>
  <si>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</si>
  <si>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</si>
  <si>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</si>
  <si>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</si>
  <si>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</si>
  <si>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</si>
  <si>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</si>
  <si>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</si>
  <si>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</si>
  <si>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</si>
  <si>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</si>
  <si>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</si>
  <si>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</si>
  <si>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</si>
  <si>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</si>
  <si>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</si>
  <si>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</si>
  <si>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</si>
  <si>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</si>
  <si>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</si>
  <si>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</si>
  <si>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</si>
  <si>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</si>
  <si>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</si>
  <si>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</si>
  <si>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</si>
  <si>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</si>
  <si>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</si>
  <si>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</si>
  <si>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</si>
  <si>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</si>
  <si>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</si>
  <si>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</si>
  <si>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</si>
  <si>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</si>
  <si>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</si>
  <si>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</si>
  <si>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</si>
  <si>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</si>
  <si>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</si>
  <si>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</si>
  <si>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</si>
  <si>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</si>
  <si>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</si>
  <si>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</si>
  <si>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</si>
  <si>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</si>
  <si>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</si>
  <si>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</si>
  <si>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</si>
  <si>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</si>
  <si>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</si>
  <si>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</si>
  <si>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</si>
  <si>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</si>
  <si>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</si>
  <si>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</si>
  <si>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</si>
  <si>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</si>
  <si>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</si>
  <si>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</si>
  <si>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</si>
  <si>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</si>
  <si>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</si>
  <si>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</si>
  <si>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</si>
  <si>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</si>
  <si>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</si>
  <si>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</si>
  <si>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</si>
  <si>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</si>
  <si>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</si>
  <si>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</si>
  <si>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</si>
  <si>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</si>
  <si>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</si>
  <si>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</si>
  <si>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</si>
  <si>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</si>
  <si>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</si>
  <si>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</si>
  <si>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</si>
  <si>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</si>
  <si>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</si>
  <si>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</si>
  <si>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</si>
  <si>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</si>
  <si>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</si>
  <si>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</si>
  <si>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</si>
  <si>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</si>
  <si>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</si>
  <si>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</si>
  <si>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</si>
  <si>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</si>
  <si>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</si>
  <si>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</si>
  <si>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</si>
  <si>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</si>
  <si>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</si>
  <si>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</si>
  <si>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</si>
  <si>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</si>
  <si>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</si>
  <si>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</si>
  <si>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</si>
  <si>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</si>
  <si>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</si>
  <si>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</si>
  <si>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</si>
  <si>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</si>
  <si>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</si>
  <si>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</si>
  <si>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</si>
  <si>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</si>
  <si>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</si>
  <si>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</si>
  <si>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</si>
  <si>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</si>
  <si>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</si>
  <si>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</si>
  <si>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</si>
  <si>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</si>
  <si>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</si>
  <si>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</si>
  <si>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</si>
  <si>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</si>
  <si>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</si>
  <si>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</si>
  <si>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</si>
  <si>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</si>
  <si>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</si>
  <si>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</si>
  <si>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</si>
  <si>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</si>
  <si>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</si>
  <si>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</si>
  <si>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</si>
  <si>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</si>
  <si>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</si>
  <si>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</si>
  <si>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</si>
  <si>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</si>
  <si>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</si>
  <si>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</si>
  <si>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</si>
  <si>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</si>
  <si>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</si>
  <si>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</si>
  <si>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</si>
  <si>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</si>
  <si>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</si>
  <si>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</si>
  <si>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</si>
  <si>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</si>
  <si>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</si>
  <si>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</si>
  <si>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</si>
  <si>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</si>
  <si>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</si>
  <si>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</si>
  <si>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</si>
  <si>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</si>
  <si>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</si>
  <si>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</si>
  <si>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</si>
  <si>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</si>
  <si>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</si>
  <si>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</si>
  <si>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</si>
  <si>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</si>
  <si>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</si>
  <si>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</si>
  <si>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</si>
  <si>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</si>
  <si>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</si>
  <si>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</si>
  <si>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</si>
  <si>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</si>
  <si>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</si>
  <si>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</si>
  <si>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</si>
  <si>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</si>
  <si>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</si>
  <si>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</si>
  <si>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</si>
  <si>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</si>
  <si>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</si>
  <si>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</si>
  <si>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</si>
  <si>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</si>
  <si>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</si>
  <si>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</si>
  <si>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</si>
  <si>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</si>
  <si>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</si>
  <si>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</si>
  <si>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</si>
  <si>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</si>
  <si>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</si>
  <si>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</si>
  <si>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</si>
  <si>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</si>
  <si>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</si>
  <si>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</si>
  <si>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</si>
  <si>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</si>
  <si>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</si>
  <si>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</si>
  <si>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</si>
  <si>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</si>
  <si>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</si>
  <si>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</si>
  <si>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</si>
  <si>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</si>
  <si>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</si>
  <si>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</si>
  <si>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</si>
  <si>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</si>
  <si>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</si>
  <si>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</si>
  <si>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</si>
  <si>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</si>
  <si>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</si>
  <si>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</si>
  <si>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</si>
  <si>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</si>
  <si>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</si>
  <si>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</si>
  <si>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</si>
  <si>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</si>
  <si>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</si>
  <si>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</si>
  <si>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</si>
  <si>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</si>
  <si>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</si>
  <si>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</si>
  <si>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</si>
  <si>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</si>
  <si>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</si>
  <si>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</si>
  <si>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</si>
  <si>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</si>
  <si>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</si>
  <si>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</si>
  <si>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</si>
  <si>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</si>
  <si>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</si>
  <si>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</si>
  <si>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</si>
  <si>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</si>
  <si>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</si>
  <si>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</si>
  <si>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</si>
  <si>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</si>
  <si>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</si>
  <si>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</si>
  <si>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</si>
  <si>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</si>
  <si>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</si>
  <si>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</si>
  <si>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</si>
  <si>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</si>
  <si>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</si>
  <si>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</si>
  <si>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</si>
  <si>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</si>
  <si>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</si>
  <si>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</si>
  <si>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</si>
  <si>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</si>
  <si>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</si>
  <si>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</si>
  <si>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</si>
  <si>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</si>
  <si>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</si>
  <si>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</si>
  <si>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</si>
  <si>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</si>
  <si>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</si>
  <si>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</si>
  <si>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</si>
  <si>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</si>
  <si>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</si>
  <si>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</si>
  <si>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</si>
  <si>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</si>
  <si>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</si>
  <si>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</si>
  <si>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</si>
  <si>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</si>
  <si>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</si>
  <si>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</si>
  <si>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</si>
  <si>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</si>
  <si>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</si>
  <si>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</si>
  <si>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</si>
  <si>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</si>
  <si>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</si>
  <si>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</si>
  <si>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</si>
  <si>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</si>
  <si>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</si>
  <si>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</si>
  <si>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</si>
  <si>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</si>
  <si>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</si>
  <si>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</si>
  <si>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</si>
  <si>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</si>
  <si>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</si>
  <si>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</si>
  <si>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</si>
  <si>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</si>
  <si>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</si>
  <si>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</si>
  <si>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</si>
  <si>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</si>
  <si>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</si>
  <si>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</si>
  <si>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</si>
  <si>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</si>
  <si>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</si>
  <si>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</si>
  <si>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</si>
  <si>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</si>
  <si>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</si>
  <si>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</si>
  <si>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</si>
  <si>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</si>
  <si>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</si>
  <si>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</si>
  <si>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</si>
  <si>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</si>
  <si>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</si>
  <si>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</si>
  <si>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</si>
  <si>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</si>
  <si>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</si>
  <si>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</si>
  <si>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</si>
  <si>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</si>
  <si>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</si>
  <si>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</si>
  <si>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</si>
  <si>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</si>
  <si>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</si>
  <si>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</si>
  <si>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</si>
  <si>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</si>
  <si>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</si>
  <si>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</si>
  <si>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</si>
  <si>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</si>
  <si>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</si>
  <si>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</si>
  <si>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</si>
  <si>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</si>
  <si>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</si>
  <si>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</si>
  <si>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</si>
  <si>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</si>
  <si>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</si>
  <si>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</si>
  <si>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</si>
  <si>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</si>
  <si>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</si>
  <si>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</si>
  <si>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</si>
  <si>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</si>
  <si>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</si>
  <si>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</si>
  <si>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</si>
  <si>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</si>
  <si>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</si>
  <si>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</si>
  <si>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</si>
  <si>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</si>
  <si>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</si>
  <si>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</si>
  <si>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</si>
  <si>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</si>
  <si>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</si>
  <si>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</si>
  <si>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</si>
  <si>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</si>
  <si>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</si>
  <si>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</si>
  <si>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</si>
  <si>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</si>
  <si>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</si>
  <si>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</si>
  <si>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</si>
  <si>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</si>
  <si>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</si>
  <si>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</si>
  <si>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</si>
  <si>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</si>
  <si>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</si>
  <si>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</si>
  <si>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</si>
  <si>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</si>
  <si>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</si>
  <si>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</si>
  <si>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</si>
  <si>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</si>
  <si>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</si>
  <si>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</si>
  <si>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</si>
  <si>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</si>
  <si>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</si>
  <si>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</si>
  <si>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</si>
  <si>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</si>
  <si>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</si>
  <si>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</si>
  <si>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</si>
  <si>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</si>
  <si>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</si>
  <si>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</si>
  <si>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</si>
  <si>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</si>
  <si>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</si>
  <si>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</si>
  <si>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</si>
  <si>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</si>
  <si>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</si>
  <si>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</si>
  <si>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</si>
  <si>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</si>
  <si>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</si>
  <si>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</si>
  <si>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</si>
  <si>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</si>
  <si>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</si>
  <si>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</si>
  <si>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</si>
  <si>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</si>
  <si>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</si>
  <si>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</si>
  <si>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</si>
  <si>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</si>
  <si>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</si>
  <si>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</si>
  <si>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</si>
  <si>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</si>
  <si>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</si>
  <si>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</si>
  <si>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</si>
  <si>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</si>
  <si>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</si>
  <si>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</si>
  <si>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</si>
  <si>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</si>
  <si>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</si>
  <si>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</si>
  <si>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</si>
  <si>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</si>
  <si>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</si>
  <si>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</si>
  <si>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</si>
  <si>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</si>
  <si>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</si>
  <si>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</si>
  <si>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</si>
  <si>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</si>
  <si>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</si>
  <si>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</si>
  <si>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</si>
  <si>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</si>
  <si>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</si>
  <si>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</si>
  <si>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</si>
  <si>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</si>
  <si>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</si>
  <si>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</si>
  <si>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</si>
  <si>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</si>
  <si>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</si>
  <si>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</si>
  <si>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</si>
  <si>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</si>
  <si>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</si>
  <si>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</si>
  <si>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</si>
  <si>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</si>
  <si>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</si>
  <si>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</si>
  <si>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</si>
  <si>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</si>
  <si>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</si>
  <si>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</si>
  <si>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</si>
  <si>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</si>
  <si>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</si>
  <si>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</si>
  <si>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</si>
  <si>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</si>
  <si>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</si>
  <si>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</si>
  <si>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</si>
  <si>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</si>
  <si>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</si>
  <si>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</si>
  <si>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</si>
  <si>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</si>
  <si>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</si>
  <si>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</si>
  <si>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</si>
  <si>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</si>
  <si>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</si>
  <si>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</si>
  <si>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</si>
  <si>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</si>
  <si>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</si>
  <si>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</si>
  <si>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</si>
  <si>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</si>
  <si>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</si>
  <si>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</si>
  <si>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</si>
  <si>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</si>
  <si>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</si>
  <si>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</si>
  <si>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</si>
  <si>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</si>
  <si>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</si>
  <si>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</si>
  <si>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</si>
  <si>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</si>
  <si>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</si>
  <si>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</si>
  <si>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</si>
  <si>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</si>
  <si>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</si>
  <si>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</si>
  <si>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</si>
  <si>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</si>
  <si>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</si>
  <si>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</si>
  <si>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</si>
  <si>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</si>
  <si>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</si>
  <si>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</si>
  <si>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</si>
  <si>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</si>
  <si>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</si>
  <si>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</si>
  <si>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</si>
  <si>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</si>
  <si>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</si>
  <si>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</si>
  <si>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</si>
  <si>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</si>
  <si>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</si>
  <si>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</si>
  <si>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</si>
  <si>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</si>
  <si>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</si>
  <si>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</si>
  <si>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</si>
  <si>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</si>
  <si>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</si>
  <si>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</si>
  <si>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</si>
  <si>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</si>
  <si>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</si>
  <si>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</si>
  <si>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</si>
  <si>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</si>
  <si>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</si>
  <si>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</si>
  <si>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</si>
  <si>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</si>
  <si>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</si>
  <si>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</si>
  <si>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</si>
  <si>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</si>
  <si>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</si>
  <si>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</si>
  <si>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</si>
  <si>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</si>
  <si>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</si>
  <si>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</si>
  <si>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</si>
  <si>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</si>
  <si>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</si>
  <si>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</si>
  <si>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</si>
  <si>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</si>
  <si>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</si>
  <si>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</si>
  <si>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</si>
  <si>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</si>
  <si>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</si>
  <si>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</si>
  <si>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</si>
  <si>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</si>
  <si>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</si>
  <si>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</si>
  <si>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</si>
  <si>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</si>
  <si>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</si>
  <si>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</si>
  <si>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</si>
  <si>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</si>
  <si>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</si>
  <si>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</si>
  <si>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</si>
  <si>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</si>
  <si>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</si>
  <si>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</si>
  <si>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</si>
  <si>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</si>
  <si>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</si>
  <si>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</si>
  <si>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</si>
  <si>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</si>
  <si>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</si>
  <si>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</si>
  <si>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</si>
  <si>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</si>
  <si>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</si>
  <si>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</si>
  <si>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</si>
  <si>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</si>
  <si>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</si>
  <si>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</si>
  <si>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</si>
  <si>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</si>
  <si>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</si>
  <si>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</si>
  <si>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</si>
  <si>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</si>
  <si>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</si>
  <si>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</si>
  <si>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</si>
  <si>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</si>
  <si>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</si>
  <si>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</si>
  <si>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</si>
  <si>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42028</t>
  </si>
  <si>
    <t>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</si>
  <si>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</si>
  <si>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</si>
  <si>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</si>
  <si>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</si>
  <si>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</si>
  <si>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</si>
  <si>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</si>
  <si>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</si>
  <si>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</si>
  <si>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BGS-0001 RWZI Zele</t>
  </si>
  <si>
    <t>biogas - RWZI</t>
  </si>
  <si>
    <t>niet WKK interne verbrandingsmotor (gas)</t>
  </si>
  <si>
    <t>Dijkstraat 176, 9240 Zele</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</si>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</sst>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42028</v>
      </c>
      <c r="B6" s="396"/>
      <c r="C6" s="397"/>
    </row>
    <row r="7" spans="1:7" s="394" customFormat="1" ht="15.75" customHeight="1">
      <c r="A7" s="398" t="str">
        <f>txtMunicipality</f>
        <v>ZELE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42028</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8174</v>
      </c>
      <c r="C9" s="336">
        <v>8658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1941</v>
      </c>
    </row>
    <row r="15" spans="1:6">
      <c r="A15" s="1251" t="s">
        <v>185</v>
      </c>
      <c r="B15" s="333">
        <v>44</v>
      </c>
    </row>
    <row r="16" spans="1:6">
      <c r="A16" s="1251" t="s">
        <v>6</v>
      </c>
      <c r="B16" s="333">
        <v>1236</v>
      </c>
    </row>
    <row r="17" spans="1:6">
      <c r="A17" s="1251" t="s">
        <v>7</v>
      </c>
      <c r="B17" s="333">
        <v>895</v>
      </c>
    </row>
    <row r="18" spans="1:6">
      <c r="A18" s="1251" t="s">
        <v>8</v>
      </c>
      <c r="B18" s="333">
        <v>1383</v>
      </c>
    </row>
    <row r="19" spans="1:6">
      <c r="A19" s="1251" t="s">
        <v>9</v>
      </c>
      <c r="B19" s="333">
        <v>1375</v>
      </c>
    </row>
    <row r="20" spans="1:6">
      <c r="A20" s="1251" t="s">
        <v>10</v>
      </c>
      <c r="B20" s="333">
        <v>1542</v>
      </c>
    </row>
    <row r="21" spans="1:6">
      <c r="A21" s="1251" t="s">
        <v>11</v>
      </c>
      <c r="B21" s="333">
        <v>1930</v>
      </c>
    </row>
    <row r="22" spans="1:6">
      <c r="A22" s="1251" t="s">
        <v>12</v>
      </c>
      <c r="B22" s="333">
        <v>4685</v>
      </c>
    </row>
    <row r="23" spans="1:6">
      <c r="A23" s="1251" t="s">
        <v>13</v>
      </c>
      <c r="B23" s="333">
        <v>63</v>
      </c>
    </row>
    <row r="24" spans="1:6">
      <c r="A24" s="1251" t="s">
        <v>14</v>
      </c>
      <c r="B24" s="333">
        <v>6</v>
      </c>
    </row>
    <row r="25" spans="1:6">
      <c r="A25" s="1251" t="s">
        <v>15</v>
      </c>
      <c r="B25" s="333">
        <v>526</v>
      </c>
    </row>
    <row r="26" spans="1:6">
      <c r="A26" s="1251" t="s">
        <v>16</v>
      </c>
      <c r="B26" s="333">
        <v>6</v>
      </c>
    </row>
    <row r="27" spans="1:6">
      <c r="A27" s="1251" t="s">
        <v>17</v>
      </c>
      <c r="B27" s="333">
        <v>152</v>
      </c>
    </row>
    <row r="28" spans="1:6">
      <c r="A28" s="1251" t="s">
        <v>18</v>
      </c>
      <c r="B28" s="333">
        <v>109844</v>
      </c>
    </row>
    <row r="29" spans="1:6">
      <c r="A29" s="1251" t="s">
        <v>925</v>
      </c>
      <c r="B29" s="333">
        <v>67</v>
      </c>
    </row>
    <row r="30" spans="1:6">
      <c r="A30" s="1247" t="s">
        <v>926</v>
      </c>
      <c r="B30" s="1247">
        <v>18</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3</v>
      </c>
      <c r="F36" s="333">
        <v>7488</v>
      </c>
    </row>
    <row r="37" spans="1:6">
      <c r="A37" s="1251" t="s">
        <v>25</v>
      </c>
      <c r="B37" s="1251" t="s">
        <v>28</v>
      </c>
      <c r="C37" s="333">
        <v>0</v>
      </c>
      <c r="D37" s="333">
        <v>0</v>
      </c>
      <c r="E37" s="333">
        <v>0</v>
      </c>
      <c r="F37" s="333">
        <v>0</v>
      </c>
    </row>
    <row r="38" spans="1:6">
      <c r="A38" s="1251" t="s">
        <v>25</v>
      </c>
      <c r="B38" s="1251" t="s">
        <v>29</v>
      </c>
      <c r="C38" s="333">
        <v>1</v>
      </c>
      <c r="D38" s="333">
        <v>12235.2717819753</v>
      </c>
      <c r="E38" s="333">
        <v>2</v>
      </c>
      <c r="F38" s="333">
        <v>2845.8533413467999</v>
      </c>
    </row>
    <row r="39" spans="1:6">
      <c r="A39" s="1251" t="s">
        <v>30</v>
      </c>
      <c r="B39" s="1251" t="s">
        <v>31</v>
      </c>
      <c r="C39" s="333">
        <v>5680</v>
      </c>
      <c r="D39" s="333">
        <v>93892742.480044097</v>
      </c>
      <c r="E39" s="333">
        <v>7869</v>
      </c>
      <c r="F39" s="333">
        <v>35626785.678597398</v>
      </c>
    </row>
    <row r="40" spans="1:6">
      <c r="A40" s="1251" t="s">
        <v>30</v>
      </c>
      <c r="B40" s="1251" t="s">
        <v>29</v>
      </c>
      <c r="C40" s="333">
        <v>0</v>
      </c>
      <c r="D40" s="333">
        <v>0</v>
      </c>
      <c r="E40" s="333">
        <v>0</v>
      </c>
      <c r="F40" s="333">
        <v>0</v>
      </c>
    </row>
    <row r="41" spans="1:6">
      <c r="A41" s="1251" t="s">
        <v>32</v>
      </c>
      <c r="B41" s="1251" t="s">
        <v>33</v>
      </c>
      <c r="C41" s="333">
        <v>72</v>
      </c>
      <c r="D41" s="333">
        <v>2211950.6553279501</v>
      </c>
      <c r="E41" s="333">
        <v>186</v>
      </c>
      <c r="F41" s="333">
        <v>2835188.1487800102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4</v>
      </c>
      <c r="D44" s="333">
        <v>491068.87616661401</v>
      </c>
      <c r="E44" s="333">
        <v>14</v>
      </c>
      <c r="F44" s="333">
        <v>701420.67233274097</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4</v>
      </c>
      <c r="D47" s="333">
        <v>493792.00584193802</v>
      </c>
      <c r="E47" s="333">
        <v>11</v>
      </c>
      <c r="F47" s="333">
        <v>4857617.8239626801</v>
      </c>
    </row>
    <row r="48" spans="1:6">
      <c r="A48" s="1251" t="s">
        <v>32</v>
      </c>
      <c r="B48" s="1251" t="s">
        <v>29</v>
      </c>
      <c r="C48" s="333">
        <v>45</v>
      </c>
      <c r="D48" s="333">
        <v>37699785.311650902</v>
      </c>
      <c r="E48" s="333">
        <v>51</v>
      </c>
      <c r="F48" s="333">
        <v>51574264.342482701</v>
      </c>
    </row>
    <row r="49" spans="1:6">
      <c r="A49" s="1251" t="s">
        <v>32</v>
      </c>
      <c r="B49" s="1251" t="s">
        <v>40</v>
      </c>
      <c r="C49" s="333">
        <v>0</v>
      </c>
      <c r="D49" s="333">
        <v>0</v>
      </c>
      <c r="E49" s="333">
        <v>0</v>
      </c>
      <c r="F49" s="333">
        <v>0</v>
      </c>
    </row>
    <row r="50" spans="1:6">
      <c r="A50" s="1251" t="s">
        <v>32</v>
      </c>
      <c r="B50" s="1251" t="s">
        <v>41</v>
      </c>
      <c r="C50" s="333">
        <v>15</v>
      </c>
      <c r="D50" s="333">
        <v>5998797.1401471701</v>
      </c>
      <c r="E50" s="333">
        <v>20</v>
      </c>
      <c r="F50" s="333">
        <v>7579019.4390641302</v>
      </c>
    </row>
    <row r="51" spans="1:6">
      <c r="A51" s="1251" t="s">
        <v>42</v>
      </c>
      <c r="B51" s="1251" t="s">
        <v>43</v>
      </c>
      <c r="C51" s="333">
        <v>15</v>
      </c>
      <c r="D51" s="333">
        <v>208122.58956505399</v>
      </c>
      <c r="E51" s="333">
        <v>114</v>
      </c>
      <c r="F51" s="333">
        <v>1726991.3177566901</v>
      </c>
    </row>
    <row r="52" spans="1:6">
      <c r="A52" s="1251" t="s">
        <v>42</v>
      </c>
      <c r="B52" s="1251" t="s">
        <v>29</v>
      </c>
      <c r="C52" s="333">
        <v>13</v>
      </c>
      <c r="D52" s="333">
        <v>209882.526837727</v>
      </c>
      <c r="E52" s="333">
        <v>5</v>
      </c>
      <c r="F52" s="333">
        <v>44293.364526117599</v>
      </c>
    </row>
    <row r="53" spans="1:6">
      <c r="A53" s="1251" t="s">
        <v>44</v>
      </c>
      <c r="B53" s="1251" t="s">
        <v>45</v>
      </c>
      <c r="C53" s="333">
        <v>232</v>
      </c>
      <c r="D53" s="333">
        <v>5867305.6898053102</v>
      </c>
      <c r="E53" s="333">
        <v>336</v>
      </c>
      <c r="F53" s="333">
        <v>3932304.34876895</v>
      </c>
    </row>
    <row r="54" spans="1:6">
      <c r="A54" s="1251" t="s">
        <v>46</v>
      </c>
      <c r="B54" s="1251" t="s">
        <v>47</v>
      </c>
      <c r="C54" s="333">
        <v>0</v>
      </c>
      <c r="D54" s="333">
        <v>0</v>
      </c>
      <c r="E54" s="333">
        <v>1</v>
      </c>
      <c r="F54" s="333">
        <v>1309476</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28</v>
      </c>
      <c r="D57" s="333">
        <v>891212.24158954399</v>
      </c>
      <c r="E57" s="333">
        <v>100</v>
      </c>
      <c r="F57" s="333">
        <v>3097284.3621824398</v>
      </c>
    </row>
    <row r="58" spans="1:6">
      <c r="A58" s="1251" t="s">
        <v>49</v>
      </c>
      <c r="B58" s="1251" t="s">
        <v>51</v>
      </c>
      <c r="C58" s="333">
        <v>22</v>
      </c>
      <c r="D58" s="333">
        <v>1092537.9981061099</v>
      </c>
      <c r="E58" s="333">
        <v>34</v>
      </c>
      <c r="F58" s="333">
        <v>566036.84691106703</v>
      </c>
    </row>
    <row r="59" spans="1:6">
      <c r="A59" s="1251" t="s">
        <v>49</v>
      </c>
      <c r="B59" s="1251" t="s">
        <v>52</v>
      </c>
      <c r="C59" s="333">
        <v>124</v>
      </c>
      <c r="D59" s="333">
        <v>4367938.94720513</v>
      </c>
      <c r="E59" s="333">
        <v>221</v>
      </c>
      <c r="F59" s="333">
        <v>9052561.9426614493</v>
      </c>
    </row>
    <row r="60" spans="1:6">
      <c r="A60" s="1251" t="s">
        <v>49</v>
      </c>
      <c r="B60" s="1251" t="s">
        <v>53</v>
      </c>
      <c r="C60" s="333">
        <v>40</v>
      </c>
      <c r="D60" s="333">
        <v>1712737.0668228699</v>
      </c>
      <c r="E60" s="333">
        <v>54</v>
      </c>
      <c r="F60" s="333">
        <v>1009639.7107620999</v>
      </c>
    </row>
    <row r="61" spans="1:6">
      <c r="A61" s="1251" t="s">
        <v>49</v>
      </c>
      <c r="B61" s="1251" t="s">
        <v>54</v>
      </c>
      <c r="C61" s="333">
        <v>114</v>
      </c>
      <c r="D61" s="333">
        <v>7082487.5022927104</v>
      </c>
      <c r="E61" s="333">
        <v>242</v>
      </c>
      <c r="F61" s="333">
        <v>5081017.9572200701</v>
      </c>
    </row>
    <row r="62" spans="1:6">
      <c r="A62" s="1251" t="s">
        <v>49</v>
      </c>
      <c r="B62" s="1251" t="s">
        <v>55</v>
      </c>
      <c r="C62" s="333">
        <v>15</v>
      </c>
      <c r="D62" s="333">
        <v>1990748.97912173</v>
      </c>
      <c r="E62" s="333">
        <v>24</v>
      </c>
      <c r="F62" s="333">
        <v>652502.66319363494</v>
      </c>
    </row>
    <row r="63" spans="1:6">
      <c r="A63" s="1251" t="s">
        <v>49</v>
      </c>
      <c r="B63" s="1251" t="s">
        <v>29</v>
      </c>
      <c r="C63" s="333">
        <v>82</v>
      </c>
      <c r="D63" s="333">
        <v>7140079.5998434797</v>
      </c>
      <c r="E63" s="333">
        <v>98</v>
      </c>
      <c r="F63" s="333">
        <v>2843290.2890725802</v>
      </c>
    </row>
    <row r="64" spans="1:6">
      <c r="A64" s="1251" t="s">
        <v>56</v>
      </c>
      <c r="B64" s="1251" t="s">
        <v>57</v>
      </c>
      <c r="C64" s="333">
        <v>0</v>
      </c>
      <c r="D64" s="333">
        <v>0</v>
      </c>
      <c r="E64" s="333">
        <v>0</v>
      </c>
      <c r="F64" s="333">
        <v>0</v>
      </c>
    </row>
    <row r="65" spans="1:6">
      <c r="A65" s="1251" t="s">
        <v>56</v>
      </c>
      <c r="B65" s="1251" t="s">
        <v>29</v>
      </c>
      <c r="C65" s="333">
        <v>2</v>
      </c>
      <c r="D65" s="333">
        <v>41547.993406777103</v>
      </c>
      <c r="E65" s="333">
        <v>3</v>
      </c>
      <c r="F65" s="333">
        <v>17659.822738389201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5</v>
      </c>
      <c r="D68" s="333">
        <v>456197.599088508</v>
      </c>
      <c r="E68" s="333">
        <v>12</v>
      </c>
      <c r="F68" s="333">
        <v>597419.41560265503</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60715778</v>
      </c>
      <c r="E73" s="333">
        <v>63632854.548380055</v>
      </c>
      <c r="F73" s="333">
        <v>61481467</v>
      </c>
    </row>
    <row r="74" spans="1:6">
      <c r="A74" s="1251" t="s">
        <v>64</v>
      </c>
      <c r="B74" s="1251" t="s">
        <v>775</v>
      </c>
      <c r="C74" s="1262" t="s">
        <v>776</v>
      </c>
      <c r="D74" s="333">
        <v>5388545.9996448448</v>
      </c>
      <c r="E74" s="333">
        <v>5556150.8678774405</v>
      </c>
      <c r="F74" s="333">
        <v>5416129.0272789598</v>
      </c>
    </row>
    <row r="75" spans="1:6">
      <c r="A75" s="1251" t="s">
        <v>65</v>
      </c>
      <c r="B75" s="1251" t="s">
        <v>773</v>
      </c>
      <c r="C75" s="1262" t="s">
        <v>777</v>
      </c>
      <c r="D75" s="333">
        <v>25675959</v>
      </c>
      <c r="E75" s="333">
        <v>26879372.879290909</v>
      </c>
      <c r="F75" s="333">
        <v>25998218</v>
      </c>
    </row>
    <row r="76" spans="1:6">
      <c r="A76" s="1251" t="s">
        <v>65</v>
      </c>
      <c r="B76" s="1251" t="s">
        <v>775</v>
      </c>
      <c r="C76" s="1262" t="s">
        <v>778</v>
      </c>
      <c r="D76" s="333">
        <v>927001.99964484468</v>
      </c>
      <c r="E76" s="333">
        <v>960092.7077450474</v>
      </c>
      <c r="F76" s="333">
        <v>933645.02727895952</v>
      </c>
    </row>
    <row r="77" spans="1:6">
      <c r="A77" s="1251" t="s">
        <v>66</v>
      </c>
      <c r="B77" s="1251" t="s">
        <v>773</v>
      </c>
      <c r="C77" s="1262" t="s">
        <v>779</v>
      </c>
      <c r="D77" s="333">
        <v>33284998</v>
      </c>
      <c r="E77" s="333">
        <v>36203126.217399582</v>
      </c>
      <c r="F77" s="333">
        <v>33950025</v>
      </c>
    </row>
    <row r="78" spans="1:6">
      <c r="A78" s="1247" t="s">
        <v>66</v>
      </c>
      <c r="B78" s="1247" t="s">
        <v>775</v>
      </c>
      <c r="C78" s="1247" t="s">
        <v>780</v>
      </c>
      <c r="D78" s="1247">
        <v>7774257</v>
      </c>
      <c r="E78" s="1247">
        <v>8665928.4589117169</v>
      </c>
      <c r="F78" s="336">
        <v>8177061</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78728.000710310662</v>
      </c>
      <c r="C83" s="333">
        <v>71928.085690203443</v>
      </c>
      <c r="D83" s="333">
        <v>70891.945442081065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1475.8228466474454</v>
      </c>
    </row>
    <row r="92" spans="1:6">
      <c r="A92" s="1247" t="s">
        <v>69</v>
      </c>
      <c r="B92" s="336">
        <v>1016.1302729473019</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4254</v>
      </c>
    </row>
    <row r="98" spans="1:6">
      <c r="A98" s="1251" t="s">
        <v>72</v>
      </c>
      <c r="B98" s="333">
        <v>2</v>
      </c>
    </row>
    <row r="99" spans="1:6">
      <c r="A99" s="1251" t="s">
        <v>73</v>
      </c>
      <c r="B99" s="333">
        <v>95</v>
      </c>
    </row>
    <row r="100" spans="1:6">
      <c r="A100" s="1251" t="s">
        <v>74</v>
      </c>
      <c r="B100" s="333">
        <v>691</v>
      </c>
    </row>
    <row r="101" spans="1:6">
      <c r="A101" s="1251" t="s">
        <v>75</v>
      </c>
      <c r="B101" s="333">
        <v>112</v>
      </c>
    </row>
    <row r="102" spans="1:6">
      <c r="A102" s="1251" t="s">
        <v>76</v>
      </c>
      <c r="B102" s="333">
        <v>113</v>
      </c>
    </row>
    <row r="103" spans="1:6">
      <c r="A103" s="1251" t="s">
        <v>77</v>
      </c>
      <c r="B103" s="333">
        <v>252</v>
      </c>
    </row>
    <row r="104" spans="1:6">
      <c r="A104" s="1251" t="s">
        <v>78</v>
      </c>
      <c r="B104" s="333">
        <v>1946</v>
      </c>
    </row>
    <row r="105" spans="1:6">
      <c r="A105" s="1247" t="s">
        <v>79</v>
      </c>
      <c r="B105" s="1247">
        <v>4</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v>
      </c>
      <c r="C123" s="333">
        <v>9</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31</v>
      </c>
    </row>
    <row r="130" spans="1:6">
      <c r="A130" s="1251" t="s">
        <v>296</v>
      </c>
      <c r="B130" s="333">
        <v>1</v>
      </c>
    </row>
    <row r="131" spans="1:6">
      <c r="A131" s="1251" t="s">
        <v>297</v>
      </c>
      <c r="B131" s="333">
        <v>2</v>
      </c>
    </row>
    <row r="132" spans="1:6">
      <c r="A132" s="1247" t="s">
        <v>298</v>
      </c>
      <c r="B132" s="336">
        <v>8</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130529.16890859438</v>
      </c>
      <c r="C3" s="43" t="s">
        <v>171</v>
      </c>
      <c r="D3" s="43"/>
      <c r="E3" s="156"/>
      <c r="F3" s="43"/>
      <c r="G3" s="43"/>
      <c r="H3" s="43"/>
      <c r="I3" s="43"/>
      <c r="J3" s="43"/>
      <c r="K3" s="96"/>
    </row>
    <row r="4" spans="1:11">
      <c r="A4" s="364" t="s">
        <v>172</v>
      </c>
      <c r="B4" s="49">
        <f>IF(ISERROR('SEAP template'!B69),0,'SEAP template'!B69)</f>
        <v>2986.9531195947475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0.21594276532249509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1309.4760000000001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1309.4760000000001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0.21594276532249509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282.77186856343963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35626.7856785974</v>
      </c>
      <c r="C5" s="17">
        <f>IF(ISERROR('Eigen informatie GS &amp; warmtenet'!B57),0,'Eigen informatie GS &amp; warmtenet'!B57)</f>
        <v>0</v>
      </c>
      <c r="D5" s="30">
        <f>(SUM(HH_hh_gas_kWh,HH_rest_gas_kWh)/1000)*0.902</f>
        <v>84691.253716999781</v>
      </c>
      <c r="E5" s="17">
        <f>B46*B57</f>
        <v>3727.6248523126255</v>
      </c>
      <c r="F5" s="17">
        <f>B51*B62</f>
        <v>15108.675343257313</v>
      </c>
      <c r="G5" s="18"/>
      <c r="H5" s="17"/>
      <c r="I5" s="17"/>
      <c r="J5" s="17">
        <f>B50*B61+C50*C61</f>
        <v>3138.2536903146352</v>
      </c>
      <c r="K5" s="17"/>
      <c r="L5" s="17"/>
      <c r="M5" s="17"/>
      <c r="N5" s="17">
        <f>B48*B59+C48*C59</f>
        <v>12715.297236896282</v>
      </c>
      <c r="O5" s="17">
        <f>B69*B70*B71</f>
        <v>62.533333333333331</v>
      </c>
      <c r="P5" s="17">
        <f>B77*B78*B79/1000-B77*B78*B79/1000/B80</f>
        <v>171.6</v>
      </c>
    </row>
    <row r="6" spans="1:16">
      <c r="A6" s="16" t="s">
        <v>633</v>
      </c>
      <c r="B6" s="830">
        <f>kWh_PV_kleiner_dan_10kW</f>
        <v>1475.8228466474454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37102.608525244847</v>
      </c>
      <c r="C8" s="21">
        <f>C5</f>
        <v>0</v>
      </c>
      <c r="D8" s="21">
        <f>D5</f>
        <v>84691.253716999781</v>
      </c>
      <c r="E8" s="21">
        <f>E5</f>
        <v>3727.6248523126255</v>
      </c>
      <c r="F8" s="21">
        <f>F5</f>
        <v>15108.675343257313</v>
      </c>
      <c r="G8" s="21"/>
      <c r="H8" s="21"/>
      <c r="I8" s="21"/>
      <c r="J8" s="21">
        <f>J5</f>
        <v>3138.2536903146352</v>
      </c>
      <c r="K8" s="21"/>
      <c r="L8" s="21">
        <f>L5</f>
        <v>0</v>
      </c>
      <c r="M8" s="21">
        <f>M5</f>
        <v>0</v>
      </c>
      <c r="N8" s="21">
        <f>N5</f>
        <v>12715.297236896282</v>
      </c>
      <c r="O8" s="21">
        <f>O5</f>
        <v>62.533333333333331</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0.21594276532249509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8012.0398856193533</v>
      </c>
      <c r="C12" s="23">
        <f ca="1">C10*C8</f>
        <v>0</v>
      </c>
      <c r="D12" s="23">
        <f>D8*D10</f>
        <v>17107.633250833958</v>
      </c>
      <c r="E12" s="23">
        <f>E10*E8</f>
        <v>846.17084147496598</v>
      </c>
      <c r="F12" s="23">
        <f>F10*F8</f>
        <v>4034.0163166497027</v>
      </c>
      <c r="G12" s="23"/>
      <c r="H12" s="23"/>
      <c r="I12" s="23"/>
      <c r="J12" s="23">
        <f>J10*J8</f>
        <v>1110.9418063713808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4254</v>
      </c>
      <c r="C18" s="167" t="s">
        <v>111</v>
      </c>
      <c r="D18" s="229"/>
      <c r="E18" s="15"/>
    </row>
    <row r="19" spans="1:7">
      <c r="A19" s="172" t="s">
        <v>72</v>
      </c>
      <c r="B19" s="37">
        <f>aantalw2001_ander</f>
        <v>2</v>
      </c>
      <c r="C19" s="167" t="s">
        <v>111</v>
      </c>
      <c r="D19" s="230"/>
      <c r="E19" s="15"/>
    </row>
    <row r="20" spans="1:7">
      <c r="A20" s="172" t="s">
        <v>73</v>
      </c>
      <c r="B20" s="37">
        <f>aantalw2001_propaan</f>
        <v>95</v>
      </c>
      <c r="C20" s="168">
        <f>IF(ISERROR(B20/SUM($B$20,$B$21,$B$22)*100),0,B20/SUM($B$20,$B$21,$B$22)*100)</f>
        <v>10.579064587973273</v>
      </c>
      <c r="D20" s="230"/>
      <c r="E20" s="15"/>
    </row>
    <row r="21" spans="1:7">
      <c r="A21" s="172" t="s">
        <v>74</v>
      </c>
      <c r="B21" s="37">
        <f>aantalw2001_elektriciteit</f>
        <v>691</v>
      </c>
      <c r="C21" s="168">
        <f>IF(ISERROR(B21/SUM($B$20,$B$21,$B$22)*100),0,B21/SUM($B$20,$B$21,$B$22)*100)</f>
        <v>76.948775055679292</v>
      </c>
      <c r="D21" s="230"/>
      <c r="E21" s="15"/>
    </row>
    <row r="22" spans="1:7">
      <c r="A22" s="172" t="s">
        <v>75</v>
      </c>
      <c r="B22" s="37">
        <f>aantalw2001_hout</f>
        <v>112</v>
      </c>
      <c r="C22" s="168">
        <f>IF(ISERROR(B22/SUM($B$20,$B$21,$B$22)*100),0,B22/SUM($B$20,$B$21,$B$22)*100)</f>
        <v>12.472160356347439</v>
      </c>
      <c r="D22" s="230"/>
      <c r="E22" s="15"/>
    </row>
    <row r="23" spans="1:7">
      <c r="A23" s="172" t="s">
        <v>76</v>
      </c>
      <c r="B23" s="37">
        <f>aantalw2001_niet_gespec</f>
        <v>113</v>
      </c>
      <c r="C23" s="167" t="s">
        <v>111</v>
      </c>
      <c r="D23" s="229"/>
      <c r="E23" s="15"/>
    </row>
    <row r="24" spans="1:7">
      <c r="A24" s="172" t="s">
        <v>77</v>
      </c>
      <c r="B24" s="37">
        <f>aantalw2001_steenkool</f>
        <v>252</v>
      </c>
      <c r="C24" s="167" t="s">
        <v>111</v>
      </c>
      <c r="D24" s="230"/>
      <c r="E24" s="15"/>
    </row>
    <row r="25" spans="1:7">
      <c r="A25" s="172" t="s">
        <v>78</v>
      </c>
      <c r="B25" s="37">
        <f>aantalw2001_stookolie</f>
        <v>1946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8174</v>
      </c>
      <c r="C28" s="36"/>
      <c r="D28" s="229"/>
    </row>
    <row r="29" spans="1:7" s="15" customFormat="1">
      <c r="A29" s="231" t="s">
        <v>714</v>
      </c>
      <c r="B29" s="37">
        <f>SUM(HH_hh_gas_aantal,HH_rest_gas_aantal)</f>
        <v>5680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5680</v>
      </c>
      <c r="C32" s="168">
        <f>IF(ISERROR(B32/SUM($B$32,$B$34,$B$35,$B$36,$B$38,$B$39)*100),0,B32/SUM($B$32,$B$34,$B$35,$B$36,$B$38,$B$39)*100)</f>
        <v>69.565217391304344</v>
      </c>
      <c r="D32" s="234"/>
      <c r="G32" s="15"/>
    </row>
    <row r="33" spans="1:7">
      <c r="A33" s="172" t="s">
        <v>72</v>
      </c>
      <c r="B33" s="34" t="s">
        <v>111</v>
      </c>
      <c r="C33" s="168"/>
      <c r="D33" s="234"/>
      <c r="G33" s="15"/>
    </row>
    <row r="34" spans="1:7">
      <c r="A34" s="172" t="s">
        <v>73</v>
      </c>
      <c r="B34" s="33">
        <f>IF((($B$28-$B$32-$B$39-$B$77-$B$38)*C20/100)&lt;0,0,($B$28-$B$32-$B$39-$B$77-$B$38)*C20/100)</f>
        <v>181.21937639198214</v>
      </c>
      <c r="C34" s="168">
        <f>IF(ISERROR(B34/SUM($B$32,$B$34,$B$35,$B$36,$B$38,$B$39)*100),0,B34/SUM($B$32,$B$34,$B$35,$B$36,$B$38,$B$39)*100)</f>
        <v>2.2194657243353602</v>
      </c>
      <c r="D34" s="234"/>
      <c r="G34" s="15"/>
    </row>
    <row r="35" spans="1:7">
      <c r="A35" s="172" t="s">
        <v>74</v>
      </c>
      <c r="B35" s="33">
        <f>IF((($B$28-$B$32-$B$39-$B$77-$B$38)*C21/100)&lt;0,0,($B$28-$B$32-$B$39-$B$77-$B$38)*C21/100)</f>
        <v>1318.1325167037865</v>
      </c>
      <c r="C35" s="168">
        <f>IF(ISERROR(B35/SUM($B$32,$B$34,$B$35,$B$36,$B$38,$B$39)*100),0,B35/SUM($B$32,$B$34,$B$35,$B$36,$B$38,$B$39)*100)</f>
        <v>16.143692794902467</v>
      </c>
      <c r="D35" s="234"/>
      <c r="G35" s="15"/>
    </row>
    <row r="36" spans="1:7">
      <c r="A36" s="172" t="s">
        <v>75</v>
      </c>
      <c r="B36" s="33">
        <f>IF((($B$28-$B$32-$B$39-$B$77-$B$38)*C22/100)&lt;0,0,($B$28-$B$32-$B$39-$B$77-$B$38)*C22/100)</f>
        <v>213.64810690423164</v>
      </c>
      <c r="C36" s="168">
        <f>IF(ISERROR(B36/SUM($B$32,$B$34,$B$35,$B$36,$B$38,$B$39)*100),0,B36/SUM($B$32,$B$34,$B$35,$B$36,$B$38,$B$39)*100)</f>
        <v>2.6166332750058987</v>
      </c>
      <c r="D36" s="234"/>
      <c r="G36" s="15"/>
    </row>
    <row r="37" spans="1:7">
      <c r="A37" s="172" t="s">
        <v>76</v>
      </c>
      <c r="B37" s="34" t="s">
        <v>111</v>
      </c>
      <c r="C37" s="168"/>
      <c r="D37" s="174"/>
      <c r="G37" s="15"/>
    </row>
    <row r="38" spans="1:7">
      <c r="A38" s="172" t="s">
        <v>77</v>
      </c>
      <c r="B38" s="33">
        <f>IF((B24-(B29-B18)*0.1)&lt;0,0,B24-(B29-B18)*0.1)</f>
        <v>109.4</v>
      </c>
      <c r="C38" s="168">
        <f>IF(ISERROR(B38/SUM($B$32,$B$34,$B$35,$B$36,$B$38,$B$39)*100),0,B38/SUM($B$32,$B$34,$B$35,$B$36,$B$38,$B$39)*100)</f>
        <v>1.3398652786282916</v>
      </c>
      <c r="D38" s="235"/>
      <c r="G38" s="15"/>
    </row>
    <row r="39" spans="1:7">
      <c r="A39" s="172" t="s">
        <v>78</v>
      </c>
      <c r="B39" s="33">
        <f>IF((B25-(B29-B18))&lt;0,0,B25-(B29-B18)*0.9)</f>
        <v>662.59999999999991</v>
      </c>
      <c r="C39" s="168">
        <f>IF(ISERROR(B39/SUM($B$32,$B$34,$B$35,$B$36,$B$38,$B$39)*100),0,B39/SUM($B$32,$B$34,$B$35,$B$36,$B$38,$B$39)*100)</f>
        <v>8.1151255358236369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5680</v>
      </c>
      <c r="C44" s="34" t="s">
        <v>111</v>
      </c>
      <c r="D44" s="175"/>
    </row>
    <row r="45" spans="1:7">
      <c r="A45" s="172" t="s">
        <v>72</v>
      </c>
      <c r="B45" s="33" t="str">
        <f t="shared" si="0"/>
        <v>-</v>
      </c>
      <c r="C45" s="34" t="s">
        <v>111</v>
      </c>
      <c r="D45" s="175"/>
    </row>
    <row r="46" spans="1:7">
      <c r="A46" s="172" t="s">
        <v>73</v>
      </c>
      <c r="B46" s="33">
        <f t="shared" si="0"/>
        <v>181.21937639198214</v>
      </c>
      <c r="C46" s="34" t="s">
        <v>111</v>
      </c>
      <c r="D46" s="175"/>
    </row>
    <row r="47" spans="1:7">
      <c r="A47" s="172" t="s">
        <v>74</v>
      </c>
      <c r="B47" s="33">
        <f t="shared" si="0"/>
        <v>1318.1325167037865</v>
      </c>
      <c r="C47" s="34" t="s">
        <v>111</v>
      </c>
      <c r="D47" s="175"/>
    </row>
    <row r="48" spans="1:7">
      <c r="A48" s="172" t="s">
        <v>75</v>
      </c>
      <c r="B48" s="33">
        <f t="shared" si="0"/>
        <v>213.64810690423164</v>
      </c>
      <c r="C48" s="33">
        <f>B48*10</f>
        <v>2136.4810690423164</v>
      </c>
      <c r="D48" s="235"/>
    </row>
    <row r="49" spans="1:6">
      <c r="A49" s="172" t="s">
        <v>76</v>
      </c>
      <c r="B49" s="33" t="str">
        <f t="shared" si="0"/>
        <v>-</v>
      </c>
      <c r="C49" s="34" t="s">
        <v>111</v>
      </c>
      <c r="D49" s="235"/>
    </row>
    <row r="50" spans="1:6">
      <c r="A50" s="172" t="s">
        <v>77</v>
      </c>
      <c r="B50" s="33">
        <f t="shared" si="0"/>
        <v>109.4</v>
      </c>
      <c r="C50" s="33">
        <f>B50*2</f>
        <v>218.8</v>
      </c>
      <c r="D50" s="235"/>
    </row>
    <row r="51" spans="1:6">
      <c r="A51" s="172" t="s">
        <v>78</v>
      </c>
      <c r="B51" s="33">
        <f t="shared" si="0"/>
        <v>662.59999999999991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22302.333772003338</v>
      </c>
      <c r="C5" s="17">
        <f>IF(ISERROR('Eigen informatie GS &amp; warmtenet'!B58),0,'Eigen informatie GS &amp; warmtenet'!B58)</f>
        <v>0</v>
      </c>
      <c r="D5" s="30">
        <f>SUM(D6:D12)</f>
        <v>21898.52358615338</v>
      </c>
      <c r="E5" s="17">
        <f>SUM(E6:E12)</f>
        <v>361.88083444681553</v>
      </c>
      <c r="F5" s="17">
        <f>SUM(F6:F12)</f>
        <v>4335.799021066895</v>
      </c>
      <c r="G5" s="18"/>
      <c r="H5" s="17"/>
      <c r="I5" s="17"/>
      <c r="J5" s="17">
        <f>SUM(J6:J12)</f>
        <v>0</v>
      </c>
      <c r="K5" s="17"/>
      <c r="L5" s="17"/>
      <c r="M5" s="17"/>
      <c r="N5" s="17">
        <f>SUM(N6:N12)</f>
        <v>844.82429015735397</v>
      </c>
      <c r="O5" s="17">
        <f>B38*B39*B40</f>
        <v>1.5633333333333335</v>
      </c>
      <c r="P5" s="17">
        <f>B46*B47*B48/1000-B46*B47*B48/1000/B49</f>
        <v>38.133333333333333</v>
      </c>
      <c r="R5" s="32"/>
    </row>
    <row r="6" spans="1:18">
      <c r="A6" s="32" t="s">
        <v>54</v>
      </c>
      <c r="B6" s="37">
        <f>B26</f>
        <v>5081.0179572200705</v>
      </c>
      <c r="C6" s="33"/>
      <c r="D6" s="37">
        <f>IF(ISERROR(TER_kantoor_gas_kWh/1000),0,TER_kantoor_gas_kWh/1000)*0.902</f>
        <v>6388.4037270680246</v>
      </c>
      <c r="E6" s="33">
        <f>$C$26*'E Balans VL '!I12/100/3.6*1000000</f>
        <v>177.85561593999529</v>
      </c>
      <c r="F6" s="33">
        <f>$C$26*('E Balans VL '!L12+'E Balans VL '!N12)/100/3.6*1000000</f>
        <v>770.39141070113612</v>
      </c>
      <c r="G6" s="34"/>
      <c r="H6" s="33"/>
      <c r="I6" s="33"/>
      <c r="J6" s="33">
        <f>$C$26*('E Balans VL '!D12+'E Balans VL '!E12)/100/3.6*1000000</f>
        <v>0</v>
      </c>
      <c r="K6" s="33"/>
      <c r="L6" s="33"/>
      <c r="M6" s="33"/>
      <c r="N6" s="33">
        <f>$C$26*'E Balans VL '!Y12/100/3.6*1000000</f>
        <v>39.274678494457966</v>
      </c>
      <c r="O6" s="33"/>
      <c r="P6" s="33"/>
      <c r="R6" s="32"/>
    </row>
    <row r="7" spans="1:18">
      <c r="A7" s="32" t="s">
        <v>53</v>
      </c>
      <c r="B7" s="37">
        <f t="shared" ref="B7:B12" si="0">B27</f>
        <v>1009.6397107621</v>
      </c>
      <c r="C7" s="33"/>
      <c r="D7" s="37">
        <f>IF(ISERROR(TER_horeca_gas_kWh/1000),0,TER_horeca_gas_kWh/1000)*0.902</f>
        <v>1544.8888342742289</v>
      </c>
      <c r="E7" s="33">
        <f>$C$27*'E Balans VL '!I9/100/3.6*1000000</f>
        <v>56.957104625609027</v>
      </c>
      <c r="F7" s="33">
        <f>$C$27*('E Balans VL '!L9+'E Balans VL '!N9)/100/3.6*1000000</f>
        <v>175.88482503265621</v>
      </c>
      <c r="G7" s="34"/>
      <c r="H7" s="33"/>
      <c r="I7" s="33"/>
      <c r="J7" s="33">
        <f>$C$27*('E Balans VL '!D9+'E Balans VL '!E9)/100/3.6*1000000</f>
        <v>0</v>
      </c>
      <c r="K7" s="33"/>
      <c r="L7" s="33"/>
      <c r="M7" s="33"/>
      <c r="N7" s="33">
        <f>$C$27*'E Balans VL '!Y9/100/3.6*1000000</f>
        <v>0</v>
      </c>
      <c r="O7" s="33"/>
      <c r="P7" s="33"/>
      <c r="R7" s="32"/>
    </row>
    <row r="8" spans="1:18">
      <c r="A8" s="6" t="s">
        <v>52</v>
      </c>
      <c r="B8" s="37">
        <f t="shared" si="0"/>
        <v>9052.5619426614485</v>
      </c>
      <c r="C8" s="33"/>
      <c r="D8" s="37">
        <f>IF(ISERROR(TER_handel_gas_kWh/1000),0,TER_handel_gas_kWh/1000)*0.902</f>
        <v>3939.8809303790272</v>
      </c>
      <c r="E8" s="33">
        <f>$C$28*'E Balans VL '!I13/100/3.6*1000000</f>
        <v>46.474933286669632</v>
      </c>
      <c r="F8" s="33">
        <f>$C$28*('E Balans VL '!L13+'E Balans VL '!N13)/100/3.6*1000000</f>
        <v>1395.7651751174374</v>
      </c>
      <c r="G8" s="34"/>
      <c r="H8" s="33"/>
      <c r="I8" s="33"/>
      <c r="J8" s="33">
        <f>$C$28*('E Balans VL '!D13+'E Balans VL '!E13)/100/3.6*1000000</f>
        <v>0</v>
      </c>
      <c r="K8" s="33"/>
      <c r="L8" s="33"/>
      <c r="M8" s="33"/>
      <c r="N8" s="33">
        <f>$C$28*'E Balans VL '!Y13/100/3.6*1000000</f>
        <v>4.2339937219751711</v>
      </c>
      <c r="O8" s="33"/>
      <c r="P8" s="33"/>
      <c r="R8" s="32"/>
    </row>
    <row r="9" spans="1:18">
      <c r="A9" s="32" t="s">
        <v>51</v>
      </c>
      <c r="B9" s="37">
        <f t="shared" si="0"/>
        <v>566.03684691106707</v>
      </c>
      <c r="C9" s="33"/>
      <c r="D9" s="37">
        <f>IF(ISERROR(TER_gezond_gas_kWh/1000),0,TER_gezond_gas_kWh/1000)*0.902</f>
        <v>985.46927429171114</v>
      </c>
      <c r="E9" s="33">
        <f>$C$29*'E Balans VL '!I10/100/3.6*1000000</f>
        <v>0.23461824187468985</v>
      </c>
      <c r="F9" s="33">
        <f>$C$29*('E Balans VL '!L10+'E Balans VL '!N10)/100/3.6*1000000</f>
        <v>139.40675734292375</v>
      </c>
      <c r="G9" s="34"/>
      <c r="H9" s="33"/>
      <c r="I9" s="33"/>
      <c r="J9" s="33">
        <f>$C$29*('E Balans VL '!D10+'E Balans VL '!E10)/100/3.6*1000000</f>
        <v>0</v>
      </c>
      <c r="K9" s="33"/>
      <c r="L9" s="33"/>
      <c r="M9" s="33"/>
      <c r="N9" s="33">
        <f>$C$29*'E Balans VL '!Y10/100/3.6*1000000</f>
        <v>4.8919593693290349</v>
      </c>
      <c r="O9" s="33"/>
      <c r="P9" s="33"/>
      <c r="R9" s="32"/>
    </row>
    <row r="10" spans="1:18">
      <c r="A10" s="32" t="s">
        <v>50</v>
      </c>
      <c r="B10" s="37">
        <f t="shared" si="0"/>
        <v>3097.28436218244</v>
      </c>
      <c r="C10" s="33"/>
      <c r="D10" s="37">
        <f>IF(ISERROR(TER_ander_gas_kWh/1000),0,TER_ander_gas_kWh/1000)*0.902</f>
        <v>803.87344191376872</v>
      </c>
      <c r="E10" s="33">
        <f>$C$30*'E Balans VL '!I14/100/3.6*1000000</f>
        <v>18.881121890224144</v>
      </c>
      <c r="F10" s="33">
        <f>$C$30*('E Balans VL '!L14+'E Balans VL '!N14)/100/3.6*1000000</f>
        <v>821.13251239751162</v>
      </c>
      <c r="G10" s="34"/>
      <c r="H10" s="33"/>
      <c r="I10" s="33"/>
      <c r="J10" s="33">
        <f>$C$30*('E Balans VL '!D14+'E Balans VL '!E14)/100/3.6*1000000</f>
        <v>0</v>
      </c>
      <c r="K10" s="33"/>
      <c r="L10" s="33"/>
      <c r="M10" s="33"/>
      <c r="N10" s="33">
        <f>$C$30*'E Balans VL '!Y14/100/3.6*1000000</f>
        <v>713.85711809412385</v>
      </c>
      <c r="O10" s="33"/>
      <c r="P10" s="33"/>
      <c r="R10" s="32"/>
    </row>
    <row r="11" spans="1:18">
      <c r="A11" s="32" t="s">
        <v>55</v>
      </c>
      <c r="B11" s="37">
        <f t="shared" si="0"/>
        <v>652.50266319363493</v>
      </c>
      <c r="C11" s="33"/>
      <c r="D11" s="37">
        <f>IF(ISERROR(TER_onderwijs_gas_kWh/1000),0,TER_onderwijs_gas_kWh/1000)*0.902</f>
        <v>1795.6555791678004</v>
      </c>
      <c r="E11" s="33">
        <f>$C$31*'E Balans VL '!I11/100/3.6*1000000</f>
        <v>0.49724100552615785</v>
      </c>
      <c r="F11" s="33">
        <f>$C$31*('E Balans VL '!L11+'E Balans VL '!N11)/100/3.6*1000000</f>
        <v>472.18668572069623</v>
      </c>
      <c r="G11" s="34"/>
      <c r="H11" s="33"/>
      <c r="I11" s="33"/>
      <c r="J11" s="33">
        <f>$C$31*('E Balans VL '!D11+'E Balans VL '!E11)/100/3.6*1000000</f>
        <v>0</v>
      </c>
      <c r="K11" s="33"/>
      <c r="L11" s="33"/>
      <c r="M11" s="33"/>
      <c r="N11" s="33">
        <f>$C$31*'E Balans VL '!Y11/100/3.6*1000000</f>
        <v>1.9230812937265158</v>
      </c>
      <c r="O11" s="33"/>
      <c r="P11" s="33"/>
      <c r="R11" s="32"/>
    </row>
    <row r="12" spans="1:18">
      <c r="A12" s="32" t="s">
        <v>261</v>
      </c>
      <c r="B12" s="37">
        <f t="shared" si="0"/>
        <v>2843.29028907258</v>
      </c>
      <c r="C12" s="33"/>
      <c r="D12" s="37">
        <f>IF(ISERROR(TER_rest_gas_kWh/1000),0,TER_rest_gas_kWh/1000)*0.902</f>
        <v>6440.3517990588189</v>
      </c>
      <c r="E12" s="33">
        <f>$C$32*'E Balans VL '!I8/100/3.6*1000000</f>
        <v>60.980199456916594</v>
      </c>
      <c r="F12" s="33">
        <f>$C$32*('E Balans VL '!L8+'E Balans VL '!N8)/100/3.6*1000000</f>
        <v>561.03165475453352</v>
      </c>
      <c r="G12" s="34"/>
      <c r="H12" s="33"/>
      <c r="I12" s="33"/>
      <c r="J12" s="33">
        <f>$C$32*('E Balans VL '!D8+'E Balans VL '!E8)/100/3.6*1000000</f>
        <v>0</v>
      </c>
      <c r="K12" s="33"/>
      <c r="L12" s="33"/>
      <c r="M12" s="33"/>
      <c r="N12" s="33">
        <f>$C$32*'E Balans VL '!Y8/100/3.6*1000000</f>
        <v>80.643459183741314</v>
      </c>
      <c r="O12" s="33"/>
      <c r="P12" s="33"/>
      <c r="R12" s="32"/>
    </row>
    <row r="13" spans="1:18">
      <c r="A13" s="16" t="s">
        <v>497</v>
      </c>
      <c r="B13" s="248">
        <f ca="1">'lokale energieproductie'!N90+'lokale energieproductie'!N59</f>
        <v>495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-1414.2857142857144</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22797.333772003338</v>
      </c>
      <c r="C16" s="21">
        <f ca="1">C5+C13+C14</f>
        <v>0</v>
      </c>
      <c r="D16" s="21">
        <f t="shared" ref="D16:N16" ca="1" si="1">MAX((D5+D13+D14),0)</f>
        <v>21898.52358615338</v>
      </c>
      <c r="E16" s="21">
        <f t="shared" si="1"/>
        <v>361.88083444681553</v>
      </c>
      <c r="F16" s="21">
        <f t="shared" ca="1" si="1"/>
        <v>4335.799021066895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0.21594276532249509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4922.9192967063091</v>
      </c>
      <c r="C20" s="23">
        <f t="shared" ref="C20:P20" ca="1" si="2">C16*C18</f>
        <v>0</v>
      </c>
      <c r="D20" s="23">
        <f t="shared" ca="1" si="2"/>
        <v>4423.5017644029831</v>
      </c>
      <c r="E20" s="23">
        <f t="shared" si="2"/>
        <v>82.146949419427131</v>
      </c>
      <c r="F20" s="23">
        <f t="shared" ca="1" si="2"/>
        <v>1157.658338624861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5081.0179572200705</v>
      </c>
      <c r="C26" s="39">
        <f>IF(ISERROR(B26*3.6/1000000/'E Balans VL '!Z12*100),0,B26*3.6/1000000/'E Balans VL '!Z12*100)</f>
        <v>0.10692159667567733</v>
      </c>
      <c r="D26" s="238" t="s">
        <v>720</v>
      </c>
      <c r="F26" s="6"/>
    </row>
    <row r="27" spans="1:18">
      <c r="A27" s="232" t="s">
        <v>53</v>
      </c>
      <c r="B27" s="33">
        <f>IF(ISERROR(TER_horeca_ele_kWh/1000),0,TER_horeca_ele_kWh/1000)</f>
        <v>1009.6397107621</v>
      </c>
      <c r="C27" s="39">
        <f>IF(ISERROR(B27*3.6/1000000/'E Balans VL '!Z9*100),0,B27*3.6/1000000/'E Balans VL '!Z9*100)</f>
        <v>8.5483357248912734E-2</v>
      </c>
      <c r="D27" s="238" t="s">
        <v>720</v>
      </c>
      <c r="F27" s="6"/>
    </row>
    <row r="28" spans="1:18">
      <c r="A28" s="172" t="s">
        <v>52</v>
      </c>
      <c r="B28" s="33">
        <f>IF(ISERROR(TER_handel_ele_kWh/1000),0,TER_handel_ele_kWh/1000)</f>
        <v>9052.5619426614485</v>
      </c>
      <c r="C28" s="39">
        <f>IF(ISERROR(B28*3.6/1000000/'E Balans VL '!Z13*100),0,B28*3.6/1000000/'E Balans VL '!Z13*100)</f>
        <v>0.25061892560295551</v>
      </c>
      <c r="D28" s="238" t="s">
        <v>720</v>
      </c>
      <c r="F28" s="6"/>
    </row>
    <row r="29" spans="1:18">
      <c r="A29" s="232" t="s">
        <v>51</v>
      </c>
      <c r="B29" s="33">
        <f>IF(ISERROR(TER_gezond_ele_kWh/1000),0,TER_gezond_ele_kWh/1000)</f>
        <v>566.03684691106707</v>
      </c>
      <c r="C29" s="39">
        <f>IF(ISERROR(B29*3.6/1000000/'E Balans VL '!Z10*100),0,B29*3.6/1000000/'E Balans VL '!Z10*100)</f>
        <v>7.357851484836106E-2</v>
      </c>
      <c r="D29" s="238" t="s">
        <v>720</v>
      </c>
      <c r="F29" s="6"/>
    </row>
    <row r="30" spans="1:18">
      <c r="A30" s="232" t="s">
        <v>50</v>
      </c>
      <c r="B30" s="33">
        <f>IF(ISERROR(TER_ander_ele_kWh/1000),0,TER_ander_ele_kWh/1000)</f>
        <v>3097.28436218244</v>
      </c>
      <c r="C30" s="39">
        <f>IF(ISERROR(B30*3.6/1000000/'E Balans VL '!Z14*100),0,B30*3.6/1000000/'E Balans VL '!Z14*100)</f>
        <v>0.24006794233657125</v>
      </c>
      <c r="D30" s="238" t="s">
        <v>720</v>
      </c>
      <c r="F30" s="6"/>
    </row>
    <row r="31" spans="1:18">
      <c r="A31" s="232" t="s">
        <v>55</v>
      </c>
      <c r="B31" s="33">
        <f>IF(ISERROR(TER_onderwijs_ele_kWh/1000),0,TER_onderwijs_ele_kWh/1000)</f>
        <v>652.50266319363493</v>
      </c>
      <c r="C31" s="39">
        <f>IF(ISERROR(B31*3.6/1000000/'E Balans VL '!Z11*100),0,B31*3.6/1000000/'E Balans VL '!Z11*100)</f>
        <v>0.12483487787903379</v>
      </c>
      <c r="D31" s="238" t="s">
        <v>720</v>
      </c>
    </row>
    <row r="32" spans="1:18">
      <c r="A32" s="232" t="s">
        <v>261</v>
      </c>
      <c r="B32" s="33">
        <f>IF(ISERROR(TER_rest_ele_kWh/1000),0,TER_rest_ele_kWh/1000)</f>
        <v>2843.29028907258</v>
      </c>
      <c r="C32" s="39">
        <f>IF(ISERROR(B32*3.6/1000000/'E Balans VL '!Z8*100),0,B32*3.6/1000000/'E Balans VL '!Z8*100)</f>
        <v>2.3445111840267225E-2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67547.510426622262</v>
      </c>
      <c r="C5" s="17">
        <f>IF(ISERROR('Eigen informatie GS &amp; warmtenet'!B59),0,'Eigen informatie GS &amp; warmtenet'!B59)</f>
        <v>0</v>
      </c>
      <c r="D5" s="30">
        <f>SUM(D6:D15)</f>
        <v>42299.645378199384</v>
      </c>
      <c r="E5" s="17">
        <f>SUM(E6:E15)</f>
        <v>736.59877205764371</v>
      </c>
      <c r="F5" s="17">
        <f>SUM(F6:F15)</f>
        <v>14857.684997366003</v>
      </c>
      <c r="G5" s="18"/>
      <c r="H5" s="17"/>
      <c r="I5" s="17"/>
      <c r="J5" s="17">
        <f>SUM(J6:J15)</f>
        <v>393.21058780072372</v>
      </c>
      <c r="K5" s="17"/>
      <c r="L5" s="17"/>
      <c r="M5" s="17"/>
      <c r="N5" s="17">
        <f>SUM(N6:N15)</f>
        <v>1251.7600639565412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701.42067233274099</v>
      </c>
      <c r="C8" s="33"/>
      <c r="D8" s="37">
        <f>IF( ISERROR(IND_metaal_Gas_kWH/1000),0,IND_metaal_Gas_kWH/1000)*0.902</f>
        <v>442.94412630228584</v>
      </c>
      <c r="E8" s="33">
        <f>C30*'E Balans VL '!I18/100/3.6*1000000</f>
        <v>4.9287283030308391</v>
      </c>
      <c r="F8" s="33">
        <f>C30*'E Balans VL '!L18/100/3.6*1000000+C30*'E Balans VL '!N18/100/3.6*1000000</f>
        <v>77.011886107279139</v>
      </c>
      <c r="G8" s="34"/>
      <c r="H8" s="33"/>
      <c r="I8" s="33"/>
      <c r="J8" s="40">
        <f>C30*'E Balans VL '!D18/100/3.6*1000000+C30*'E Balans VL '!E18/100/3.6*1000000</f>
        <v>14.471820306570585</v>
      </c>
      <c r="K8" s="33"/>
      <c r="L8" s="33"/>
      <c r="M8" s="33"/>
      <c r="N8" s="33">
        <f>C30*'E Balans VL '!Y18/100/3.6*1000000</f>
        <v>2.6289751961657495</v>
      </c>
      <c r="O8" s="33"/>
      <c r="P8" s="33"/>
      <c r="R8" s="32"/>
    </row>
    <row r="9" spans="1:18">
      <c r="A9" s="6" t="s">
        <v>33</v>
      </c>
      <c r="B9" s="37">
        <f t="shared" si="0"/>
        <v>2835.1881487800101</v>
      </c>
      <c r="C9" s="33"/>
      <c r="D9" s="37">
        <f>IF( ISERROR(IND_andere_gas_kWh/1000),0,IND_andere_gas_kWh/1000)*0.902</f>
        <v>1995.1794911058112</v>
      </c>
      <c r="E9" s="33">
        <f>C31*'E Balans VL '!I19/100/3.6*1000000</f>
        <v>47.620458175136157</v>
      </c>
      <c r="F9" s="33">
        <f>C31*'E Balans VL '!L19/100/3.6*1000000+C31*'E Balans VL '!N19/100/3.6*1000000</f>
        <v>2216.3886144565972</v>
      </c>
      <c r="G9" s="34"/>
      <c r="H9" s="33"/>
      <c r="I9" s="33"/>
      <c r="J9" s="40">
        <f>C31*'E Balans VL '!D19/100/3.6*1000000+C31*'E Balans VL '!E19/100/3.6*1000000</f>
        <v>0.25570894372286485</v>
      </c>
      <c r="K9" s="33"/>
      <c r="L9" s="33"/>
      <c r="M9" s="33"/>
      <c r="N9" s="33">
        <f>C31*'E Balans VL '!Y19/100/3.6*1000000</f>
        <v>210.1329284139309</v>
      </c>
      <c r="O9" s="33"/>
      <c r="P9" s="33"/>
      <c r="R9" s="32"/>
    </row>
    <row r="10" spans="1:18">
      <c r="A10" s="6" t="s">
        <v>41</v>
      </c>
      <c r="B10" s="37">
        <f t="shared" si="0"/>
        <v>7579.01943906413</v>
      </c>
      <c r="C10" s="33"/>
      <c r="D10" s="37">
        <f>IF( ISERROR(IND_voed_gas_kWh/1000),0,IND_voed_gas_kWh/1000)*0.902</f>
        <v>5410.9150204127482</v>
      </c>
      <c r="E10" s="33">
        <f>C32*'E Balans VL '!I20/100/3.6*1000000</f>
        <v>69.147823900644624</v>
      </c>
      <c r="F10" s="33">
        <f>C32*'E Balans VL '!L20/100/3.6*1000000+C32*'E Balans VL '!N20/100/3.6*1000000</f>
        <v>1222.7328933759895</v>
      </c>
      <c r="G10" s="34"/>
      <c r="H10" s="33"/>
      <c r="I10" s="33"/>
      <c r="J10" s="40">
        <f>C32*'E Balans VL '!D20/100/3.6*1000000+C32*'E Balans VL '!E20/100/3.6*1000000</f>
        <v>31.215371095737389</v>
      </c>
      <c r="K10" s="33"/>
      <c r="L10" s="33"/>
      <c r="M10" s="33"/>
      <c r="N10" s="33">
        <f>C32*'E Balans VL '!Y20/100/3.6*1000000</f>
        <v>110.87507816895139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4857.6178239626797</v>
      </c>
      <c r="C13" s="33"/>
      <c r="D13" s="37">
        <f>IF( ISERROR(IND_papier_gas_kWh/1000),0,IND_papier_gas_kWh/1000)*0.902</f>
        <v>445.4003892694281</v>
      </c>
      <c r="E13" s="33">
        <f>C35*'E Balans VL '!I23/100/3.6*1000000</f>
        <v>149.45622318987904</v>
      </c>
      <c r="F13" s="33">
        <f>C35*'E Balans VL '!L23/100/3.6*1000000+C35*'E Balans VL '!N23/100/3.6*1000000</f>
        <v>1031.4420277401789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51574.264342482704</v>
      </c>
      <c r="C15" s="33"/>
      <c r="D15" s="37">
        <f>IF( ISERROR(IND_rest_gas_kWh/1000),0,IND_rest_gas_kWh/1000)*0.902</f>
        <v>34005.206351109111</v>
      </c>
      <c r="E15" s="33">
        <f>C37*'E Balans VL '!I15/100/3.6*1000000</f>
        <v>465.44553848895305</v>
      </c>
      <c r="F15" s="33">
        <f>C37*'E Balans VL '!L15/100/3.6*1000000+C37*'E Balans VL '!N15/100/3.6*1000000</f>
        <v>10310.109575685958</v>
      </c>
      <c r="G15" s="34"/>
      <c r="H15" s="33"/>
      <c r="I15" s="33"/>
      <c r="J15" s="40">
        <f>C37*'E Balans VL '!D15/100/3.6*1000000+C37*'E Balans VL '!E15/100/3.6*1000000</f>
        <v>347.26768745469286</v>
      </c>
      <c r="K15" s="33"/>
      <c r="L15" s="33"/>
      <c r="M15" s="33"/>
      <c r="N15" s="33">
        <f>C37*'E Balans VL '!Y15/100/3.6*1000000</f>
        <v>928.12308217749319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67547.510426622262</v>
      </c>
      <c r="C18" s="21">
        <f>C5+C16</f>
        <v>0</v>
      </c>
      <c r="D18" s="21">
        <f>MAX((D5+D16),0)</f>
        <v>42299.645378199384</v>
      </c>
      <c r="E18" s="21">
        <f>MAX((E5+E16),0)</f>
        <v>736.59877205764371</v>
      </c>
      <c r="F18" s="21">
        <f>MAX((F5+F16),0)</f>
        <v>14857.684997366003</v>
      </c>
      <c r="G18" s="21"/>
      <c r="H18" s="21"/>
      <c r="I18" s="21"/>
      <c r="J18" s="21">
        <f>MAX((J5+J16),0)</f>
        <v>393.21058780072372</v>
      </c>
      <c r="K18" s="21"/>
      <c r="L18" s="21">
        <f>MAX((L5+L16),0)</f>
        <v>0</v>
      </c>
      <c r="M18" s="21"/>
      <c r="N18" s="21">
        <f>MAX((N5+N16),0)</f>
        <v>1251.7600639565412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0.21594276532249509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14586.396192174881</v>
      </c>
      <c r="C22" s="23">
        <f ca="1">C18*C20</f>
        <v>0</v>
      </c>
      <c r="D22" s="23">
        <f>D18*D20</f>
        <v>8544.5283663962764</v>
      </c>
      <c r="E22" s="23">
        <f>E18*E20</f>
        <v>167.20792125708513</v>
      </c>
      <c r="F22" s="23">
        <f>F18*F20</f>
        <v>3967.0018942967231</v>
      </c>
      <c r="G22" s="23"/>
      <c r="H22" s="23"/>
      <c r="I22" s="23"/>
      <c r="J22" s="23">
        <f>J18*J20</f>
        <v>139.1965480814562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701.42067233274099</v>
      </c>
      <c r="C30" s="39">
        <f>IF(ISERROR(B30*3.6/1000000/'E Balans VL '!Z18*100),0,B30*3.6/1000000/'E Balans VL '!Z18*100)</f>
        <v>4.6694002480545824E-2</v>
      </c>
      <c r="D30" s="238" t="s">
        <v>720</v>
      </c>
    </row>
    <row r="31" spans="1:18">
      <c r="A31" s="6" t="s">
        <v>33</v>
      </c>
      <c r="B31" s="37">
        <f>IF( ISERROR(IND_ander_ele_kWh/1000),0,IND_ander_ele_kWh/1000)</f>
        <v>2835.1881487800101</v>
      </c>
      <c r="C31" s="39">
        <f>IF(ISERROR(B31*3.6/1000000/'E Balans VL '!Z19*100),0,B31*3.6/1000000/'E Balans VL '!Z19*100)</f>
        <v>0.12567265493546942</v>
      </c>
      <c r="D31" s="238" t="s">
        <v>720</v>
      </c>
    </row>
    <row r="32" spans="1:18">
      <c r="A32" s="172" t="s">
        <v>41</v>
      </c>
      <c r="B32" s="37">
        <f>IF( ISERROR(IND_voed_ele_kWh/1000),0,IND_voed_ele_kWh/1000)</f>
        <v>7579.01943906413</v>
      </c>
      <c r="C32" s="39">
        <f>IF(ISERROR(B32*3.6/1000000/'E Balans VL '!Z20*100),0,B32*3.6/1000000/'E Balans VL '!Z20*100)</f>
        <v>0.25316099065762643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4857.6178239626797</v>
      </c>
      <c r="C35" s="39">
        <f>IF(ISERROR(B35*3.6/1000000/'E Balans VL '!Z22*100),0,B35*3.6/1000000/'E Balans VL '!Z22*100)</f>
        <v>0.94475330886199127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51574.264342482704</v>
      </c>
      <c r="C37" s="39">
        <f>IF(ISERROR(B37*3.6/1000000/'E Balans VL '!Z15*100),0,B37*3.6/1000000/'E Balans VL '!Z15*100)</f>
        <v>0.38362850504430779</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1771.2846822828078</v>
      </c>
      <c r="C5" s="17">
        <f>'Eigen informatie GS &amp; warmtenet'!B60</f>
        <v>0</v>
      </c>
      <c r="D5" s="30">
        <f>IF(ISERROR(SUM(LB_lb_gas_kWh,LB_rest_gas_kWh,onbekend_gas_kWh)/1000),0,SUM(LB_lb_gas_kWh,LB_rest_gas_kWh,onbekend_gas_kWh)/1000)*0.902</f>
        <v>5669.3503471996983</v>
      </c>
      <c r="E5" s="17">
        <f>B17*'E Balans VL '!I25/3.6*1000000/100</f>
        <v>18.549276660361564</v>
      </c>
      <c r="F5" s="17">
        <f>B17*('E Balans VL '!L25/3.6*1000000+'E Balans VL '!N25/3.6*1000000)/100</f>
        <v>9097.6001597105751</v>
      </c>
      <c r="G5" s="18"/>
      <c r="H5" s="17"/>
      <c r="I5" s="17"/>
      <c r="J5" s="17">
        <f>('E Balans VL '!D25+'E Balans VL '!E25)/3.6*1000000*landbouw!B17/100</f>
        <v>158.19159842330623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1771.2846822828078</v>
      </c>
      <c r="C8" s="21">
        <f>C5+C6</f>
        <v>0</v>
      </c>
      <c r="D8" s="21">
        <f>MAX((D5+D6),0)</f>
        <v>5669.3503471996983</v>
      </c>
      <c r="E8" s="21">
        <f>MAX((E5+E6),0)</f>
        <v>18.549276660361564</v>
      </c>
      <c r="F8" s="21">
        <f>MAX((F5+F6),0)</f>
        <v>9097.6001597105751</v>
      </c>
      <c r="G8" s="21"/>
      <c r="H8" s="21"/>
      <c r="I8" s="21"/>
      <c r="J8" s="21">
        <f>MAX((J5+J6),0)</f>
        <v>158.19159842330623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0.21594276532249509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382.49611246552666</v>
      </c>
      <c r="C12" s="23">
        <f ca="1">C8*C10</f>
        <v>0</v>
      </c>
      <c r="D12" s="23">
        <f>D8*D10</f>
        <v>1145.2087701343391</v>
      </c>
      <c r="E12" s="23">
        <f>E8*E10</f>
        <v>4.2106858019020752</v>
      </c>
      <c r="F12" s="23">
        <f>F8*F10</f>
        <v>2429.0592426427238</v>
      </c>
      <c r="G12" s="23"/>
      <c r="H12" s="23"/>
      <c r="I12" s="23"/>
      <c r="J12" s="23">
        <f>J8*J10</f>
        <v>55.999825841850402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0.27263490471634122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456.78827397535696</v>
      </c>
      <c r="C26" s="248">
        <f>B26*'GWP N2O_CH4'!B5</f>
        <v>9592.5537534824962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101.4265440015532</v>
      </c>
      <c r="C27" s="248">
        <f>B27*'GWP N2O_CH4'!B5</f>
        <v>2129.9574240326169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6.1650585401741793</v>
      </c>
      <c r="C28" s="248">
        <f>B28*'GWP N2O_CH4'!B4</f>
        <v>1911.1681474539955</v>
      </c>
      <c r="D28" s="50"/>
    </row>
    <row r="29" spans="1:4">
      <c r="A29" s="41" t="s">
        <v>278</v>
      </c>
      <c r="B29" s="248">
        <f>B34*'ha_N2O bodem landbouw'!B4</f>
        <v>17.463298052034947</v>
      </c>
      <c r="C29" s="248">
        <f>B29*'GWP N2O_CH4'!B4</f>
        <v>5413.6223961308333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2.8860393607593807E-3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3.4398087880360952E-6</v>
      </c>
      <c r="C5" s="446" t="s">
        <v>212</v>
      </c>
      <c r="D5" s="431">
        <f>SUM(D6:D11)</f>
        <v>1.7503494789921669E-5</v>
      </c>
      <c r="E5" s="431">
        <f>SUM(E6:E11)</f>
        <v>1.8815172634147714E-3</v>
      </c>
      <c r="F5" s="444" t="s">
        <v>212</v>
      </c>
      <c r="G5" s="431">
        <f>SUM(G6:G11)</f>
        <v>0.35504006086902679</v>
      </c>
      <c r="H5" s="431">
        <f>SUM(H6:H11)</f>
        <v>5.894283834143399E-2</v>
      </c>
      <c r="I5" s="446" t="s">
        <v>212</v>
      </c>
      <c r="J5" s="446" t="s">
        <v>212</v>
      </c>
      <c r="K5" s="446" t="s">
        <v>212</v>
      </c>
      <c r="L5" s="446" t="s">
        <v>212</v>
      </c>
      <c r="M5" s="431">
        <f>SUM(M6:M11)</f>
        <v>1.8058440563702545E-2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1.7451233670173957E-6</v>
      </c>
      <c r="C6" s="432"/>
      <c r="D6" s="432">
        <f>vkm_2011_GW_PW*SUMIFS(TableVerdeelsleutelVkm[CNG],TableVerdeelsleutelVkm[Voertuigtype],"Lichte voertuigen")*SUMIFS(TableECFTransport[EnergieConsumptieFactor (PJ per km)],TableECFTransport[Index],CONCATENATE($A6,"_CNG_CNG"))</f>
        <v>7.523023982295782E-6</v>
      </c>
      <c r="E6" s="434">
        <f>vkm_2011_GW_PW*SUMIFS(TableVerdeelsleutelVkm[LPG],TableVerdeelsleutelVkm[Voertuigtype],"Lichte voertuigen")*SUMIFS(TableECFTransport[EnergieConsumptieFactor (PJ per km)],TableECFTransport[Index],CONCATENATE($A6,"_LPG_LPG"))</f>
        <v>7.827244850515387E-4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9.6277260458342048E-2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2.5347807523080509E-2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5.3301935718672224E-3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5.0392142449367718E-2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1.7278767329353394E-5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2.1768461353109119E-3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7.3799130139583497E-7</v>
      </c>
      <c r="C8" s="432"/>
      <c r="D8" s="434">
        <f>vkm_2011_NGW_PW*SUMIFS(TableVerdeelsleutelVkm[CNG],TableVerdeelsleutelVkm[Voertuigtype],"Lichte voertuigen")*SUMIFS(TableECFTransport[EnergieConsumptieFactor (PJ per km)],TableECFTransport[Index],CONCATENATE($A8,"_CNG_CNG"))</f>
        <v>5.7074996102760168E-6</v>
      </c>
      <c r="E8" s="434">
        <f>vkm_2011_NGW_PW*SUMIFS(TableVerdeelsleutelVkm[LPG],TableVerdeelsleutelVkm[Voertuigtype],"Lichte voertuigen")*SUMIFS(TableECFTransport[EnergieConsumptieFactor (PJ per km)],TableECFTransport[Index],CONCATENATE($A8,"_LPG_LPG"))</f>
        <v>5.4221112077594081E-4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6.325722479118541E-2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1.835696202059104E-2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3.5808802364803399E-3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1.2045938903936902E-2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3.5881687396712529E-6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5.2033690465861108E-4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9.5669411962286445E-7</v>
      </c>
      <c r="C10" s="432"/>
      <c r="D10" s="434">
        <f>vkm_2011_SW_PW*SUMIFS(TableVerdeelsleutelVkm[CNG],TableVerdeelsleutelVkm[Voertuigtype],"Lichte voertuigen")*SUMIFS(TableECFTransport[EnergieConsumptieFactor (PJ per km)],TableECFTransport[Index],CONCATENATE($A10,"_CNG_CNG"))</f>
        <v>4.2729711973498687E-6</v>
      </c>
      <c r="E10" s="434">
        <f>vkm_2011_SW_PW*SUMIFS(TableVerdeelsleutelVkm[LPG],TableVerdeelsleutelVkm[Voertuigtype],"Lichte voertuigen")*SUMIFS(TableECFTransport[EnergieConsumptieFactor (PJ per km)],TableECFTransport[Index],CONCATENATE($A10,"_LPG_LPG"))</f>
        <v>5.5658165758729202E-4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6.2939033298793107E-2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1.5191545673763093E-2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3.4206911073178404E-3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7.0128460967401607E-2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2.56561879303156E-5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3.0294926080676188E-3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0.95550244112113758</v>
      </c>
      <c r="C14" s="21"/>
      <c r="D14" s="21">
        <f t="shared" ref="D14:M14" si="0">((D5)*10^9/3600)+D12</f>
        <v>4.862081886089352</v>
      </c>
      <c r="E14" s="21">
        <f t="shared" si="0"/>
        <v>522.64368428188095</v>
      </c>
      <c r="F14" s="21"/>
      <c r="G14" s="21">
        <f t="shared" si="0"/>
        <v>98622.239130285219</v>
      </c>
      <c r="H14" s="21">
        <f t="shared" si="0"/>
        <v>16373.01065039833</v>
      </c>
      <c r="I14" s="21"/>
      <c r="J14" s="21"/>
      <c r="K14" s="21"/>
      <c r="L14" s="21"/>
      <c r="M14" s="21">
        <f t="shared" si="0"/>
        <v>5016.2334899173738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0.21594276532249509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0.20633383940809299</v>
      </c>
      <c r="C18" s="23"/>
      <c r="D18" s="23">
        <f t="shared" ref="D18:M18" si="1">D14*D16</f>
        <v>0.98214054099004922</v>
      </c>
      <c r="E18" s="23">
        <f t="shared" si="1"/>
        <v>118.64011633198697</v>
      </c>
      <c r="F18" s="23"/>
      <c r="G18" s="23">
        <f t="shared" si="1"/>
        <v>26332.137847786154</v>
      </c>
      <c r="H18" s="23">
        <f t="shared" si="1"/>
        <v>4076.8796519491839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1.0337289486635267E-3</v>
      </c>
      <c r="H50" s="322">
        <f t="shared" si="2"/>
        <v>0</v>
      </c>
      <c r="I50" s="322">
        <f t="shared" si="2"/>
        <v>0</v>
      </c>
      <c r="J50" s="322">
        <f t="shared" si="2"/>
        <v>0</v>
      </c>
      <c r="K50" s="322">
        <f t="shared" si="2"/>
        <v>0</v>
      </c>
      <c r="L50" s="322">
        <f t="shared" si="2"/>
        <v>0</v>
      </c>
      <c r="M50" s="322">
        <f t="shared" si="2"/>
        <v>4.4063374070332261E-5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1.0337289486635267E-3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4.4063374070332261E-5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287.14693018431296</v>
      </c>
      <c r="H54" s="21">
        <f t="shared" si="3"/>
        <v>0</v>
      </c>
      <c r="I54" s="21">
        <f t="shared" si="3"/>
        <v>0</v>
      </c>
      <c r="J54" s="21">
        <f t="shared" si="3"/>
        <v>0</v>
      </c>
      <c r="K54" s="21">
        <f t="shared" si="3"/>
        <v>0</v>
      </c>
      <c r="L54" s="21">
        <f t="shared" si="3"/>
        <v>0</v>
      </c>
      <c r="M54" s="21">
        <f t="shared" si="3"/>
        <v>12.239826130647851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0.21594276532249509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76.668230359211563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2491.9531195947475</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495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2986.9531195947475</v>
      </c>
      <c r="C9" s="578">
        <f t="shared" ref="C9:L9" si="0">SUM(C7:C8)</f>
        <v>0</v>
      </c>
      <c r="D9" s="578">
        <f t="shared" si="0"/>
        <v>0</v>
      </c>
      <c r="E9" s="578">
        <f t="shared" si="0"/>
        <v>0</v>
      </c>
      <c r="F9" s="578">
        <f t="shared" si="0"/>
        <v>0</v>
      </c>
      <c r="G9" s="578">
        <f t="shared" si="0"/>
        <v>0</v>
      </c>
      <c r="H9" s="578">
        <f t="shared" si="0"/>
        <v>0</v>
      </c>
      <c r="I9" s="578">
        <f t="shared" si="0"/>
        <v>0</v>
      </c>
      <c r="J9" s="578">
        <f t="shared" si="0"/>
        <v>1414.2857142857144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42028</v>
      </c>
      <c r="C63" s="839">
        <v>9240</v>
      </c>
      <c r="D63" s="658" t="s">
        <v>931</v>
      </c>
      <c r="E63" s="658" t="s">
        <v>932</v>
      </c>
      <c r="F63" s="658" t="s">
        <v>933</v>
      </c>
      <c r="G63" s="658" t="s">
        <v>934</v>
      </c>
      <c r="H63" s="658" t="s">
        <v>935</v>
      </c>
      <c r="I63" s="658" t="s">
        <v>936</v>
      </c>
      <c r="J63" s="838">
        <v>31048</v>
      </c>
      <c r="K63" s="838">
        <v>37316</v>
      </c>
      <c r="L63" s="658" t="s">
        <v>937</v>
      </c>
      <c r="M63" s="658">
        <v>110</v>
      </c>
      <c r="N63" s="658">
        <v>495</v>
      </c>
      <c r="O63" s="658">
        <v>0</v>
      </c>
      <c r="P63" s="658">
        <v>0</v>
      </c>
      <c r="Q63" s="658">
        <v>1414.2857142857144</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110</v>
      </c>
      <c r="N88" s="613">
        <f t="shared" ref="N88:W88" si="5">SUM(N63:N87)</f>
        <v>495</v>
      </c>
      <c r="O88" s="613">
        <f t="shared" si="5"/>
        <v>0</v>
      </c>
      <c r="P88" s="613">
        <f t="shared" si="5"/>
        <v>0</v>
      </c>
      <c r="Q88" s="613">
        <f t="shared" si="5"/>
        <v>1414.2857142857144</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110</v>
      </c>
      <c r="N90" s="613">
        <f t="shared" ref="N90:W90" si="7">SUMIF($Z$63:$Z$88,"tertiair",N63:N88)</f>
        <v>495</v>
      </c>
      <c r="O90" s="613">
        <f t="shared" si="7"/>
        <v>0</v>
      </c>
      <c r="P90" s="613">
        <f t="shared" si="7"/>
        <v>0</v>
      </c>
      <c r="Q90" s="613">
        <f t="shared" si="7"/>
        <v>1414.2857142857144</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24106.809772003337</v>
      </c>
      <c r="D10" s="702">
        <f ca="1">tertiair!C16</f>
        <v>0</v>
      </c>
      <c r="E10" s="702">
        <f ca="1">tertiair!D16</f>
        <v>21898.52358615338</v>
      </c>
      <c r="F10" s="702">
        <f>tertiair!E16</f>
        <v>361.88083444681553</v>
      </c>
      <c r="G10" s="702">
        <f ca="1">tertiair!F16</f>
        <v>4335.799021066895</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38.133333333333333</v>
      </c>
      <c r="R10" s="705">
        <f ca="1">SUM(C10:Q10)</f>
        <v>50742.709880337083</v>
      </c>
      <c r="S10" s="67"/>
    </row>
    <row r="11" spans="1:19" s="457" customFormat="1">
      <c r="A11" s="858" t="s">
        <v>226</v>
      </c>
      <c r="B11" s="863"/>
      <c r="C11" s="702">
        <f>huishoudens!B8</f>
        <v>37102.608525244847</v>
      </c>
      <c r="D11" s="702">
        <f>huishoudens!C8</f>
        <v>0</v>
      </c>
      <c r="E11" s="702">
        <f>huishoudens!D8</f>
        <v>84691.253716999781</v>
      </c>
      <c r="F11" s="702">
        <f>huishoudens!E8</f>
        <v>3727.6248523126255</v>
      </c>
      <c r="G11" s="702">
        <f>huishoudens!F8</f>
        <v>15108.675343257313</v>
      </c>
      <c r="H11" s="702">
        <f>huishoudens!G8</f>
        <v>0</v>
      </c>
      <c r="I11" s="702">
        <f>huishoudens!H8</f>
        <v>0</v>
      </c>
      <c r="J11" s="702">
        <f>huishoudens!I8</f>
        <v>0</v>
      </c>
      <c r="K11" s="702">
        <f>huishoudens!J8</f>
        <v>3138.2536903146352</v>
      </c>
      <c r="L11" s="702">
        <f>huishoudens!K8</f>
        <v>0</v>
      </c>
      <c r="M11" s="702">
        <f>huishoudens!L8</f>
        <v>0</v>
      </c>
      <c r="N11" s="702">
        <f>huishoudens!M8</f>
        <v>0</v>
      </c>
      <c r="O11" s="702">
        <f>huishoudens!N8</f>
        <v>12715.297236896282</v>
      </c>
      <c r="P11" s="702">
        <f>huishoudens!O8</f>
        <v>62.533333333333331</v>
      </c>
      <c r="Q11" s="703">
        <f>huishoudens!P8</f>
        <v>171.6</v>
      </c>
      <c r="R11" s="705">
        <f>SUM(C11:Q11)</f>
        <v>156717.8466983588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67547.510426622262</v>
      </c>
      <c r="D13" s="702">
        <f>industrie!C18</f>
        <v>0</v>
      </c>
      <c r="E13" s="702">
        <f>industrie!D18</f>
        <v>42299.645378199384</v>
      </c>
      <c r="F13" s="702">
        <f>industrie!E18</f>
        <v>736.59877205764371</v>
      </c>
      <c r="G13" s="702">
        <f>industrie!F18</f>
        <v>14857.684997366003</v>
      </c>
      <c r="H13" s="702">
        <f>industrie!G18</f>
        <v>0</v>
      </c>
      <c r="I13" s="702">
        <f>industrie!H18</f>
        <v>0</v>
      </c>
      <c r="J13" s="702">
        <f>industrie!I18</f>
        <v>0</v>
      </c>
      <c r="K13" s="702">
        <f>industrie!J18</f>
        <v>393.21058780072372</v>
      </c>
      <c r="L13" s="702">
        <f>industrie!K18</f>
        <v>0</v>
      </c>
      <c r="M13" s="702">
        <f>industrie!L18</f>
        <v>0</v>
      </c>
      <c r="N13" s="702">
        <f>industrie!M18</f>
        <v>0</v>
      </c>
      <c r="O13" s="702">
        <f>industrie!N18</f>
        <v>1251.7600639565412</v>
      </c>
      <c r="P13" s="702">
        <f>industrie!O18</f>
        <v>0</v>
      </c>
      <c r="Q13" s="703">
        <f>industrie!P18</f>
        <v>0</v>
      </c>
      <c r="R13" s="705">
        <f>SUM(C13:Q13)</f>
        <v>127086.41022600254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128756.92872387044</v>
      </c>
      <c r="D15" s="707">
        <f t="shared" ref="D15:Q15" ca="1" si="0">SUM(D9:D14)</f>
        <v>0</v>
      </c>
      <c r="E15" s="707">
        <f t="shared" ca="1" si="0"/>
        <v>148889.42268135253</v>
      </c>
      <c r="F15" s="707">
        <f t="shared" si="0"/>
        <v>4826.1044588170853</v>
      </c>
      <c r="G15" s="707">
        <f t="shared" ca="1" si="0"/>
        <v>34302.15936169021</v>
      </c>
      <c r="H15" s="707">
        <f t="shared" si="0"/>
        <v>0</v>
      </c>
      <c r="I15" s="707">
        <f t="shared" si="0"/>
        <v>0</v>
      </c>
      <c r="J15" s="707">
        <f t="shared" si="0"/>
        <v>0</v>
      </c>
      <c r="K15" s="707">
        <f t="shared" si="0"/>
        <v>3531.4642781153589</v>
      </c>
      <c r="L15" s="707">
        <f t="shared" si="0"/>
        <v>0</v>
      </c>
      <c r="M15" s="707">
        <f t="shared" ca="1" si="0"/>
        <v>0</v>
      </c>
      <c r="N15" s="707">
        <f t="shared" si="0"/>
        <v>0</v>
      </c>
      <c r="O15" s="707">
        <f t="shared" ca="1" si="0"/>
        <v>13967.057300852823</v>
      </c>
      <c r="P15" s="707">
        <f t="shared" si="0"/>
        <v>64.096666666666664</v>
      </c>
      <c r="Q15" s="708">
        <f t="shared" si="0"/>
        <v>209.73333333333332</v>
      </c>
      <c r="R15" s="709">
        <f ca="1">SUM(R9:R14)</f>
        <v>334546.96680469846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287.14693018431296</v>
      </c>
      <c r="I18" s="702">
        <f>transport!H54</f>
        <v>0</v>
      </c>
      <c r="J18" s="702">
        <f>transport!I54</f>
        <v>0</v>
      </c>
      <c r="K18" s="702">
        <f>transport!J54</f>
        <v>0</v>
      </c>
      <c r="L18" s="702">
        <f>transport!K54</f>
        <v>0</v>
      </c>
      <c r="M18" s="702">
        <f>transport!L54</f>
        <v>0</v>
      </c>
      <c r="N18" s="702">
        <f>transport!M54</f>
        <v>12.239826130647851</v>
      </c>
      <c r="O18" s="702">
        <f>transport!N54</f>
        <v>0</v>
      </c>
      <c r="P18" s="702">
        <f>transport!O54</f>
        <v>0</v>
      </c>
      <c r="Q18" s="703">
        <f>transport!P54</f>
        <v>0</v>
      </c>
      <c r="R18" s="705">
        <f>SUM(C18:Q18)</f>
        <v>299.38675631496079</v>
      </c>
      <c r="S18" s="67"/>
    </row>
    <row r="19" spans="1:19" s="457" customFormat="1" ht="15" thickBot="1">
      <c r="A19" s="858" t="s">
        <v>308</v>
      </c>
      <c r="B19" s="863"/>
      <c r="C19" s="711">
        <f>transport!B14</f>
        <v>0.95550244112113758</v>
      </c>
      <c r="D19" s="711">
        <f>transport!C14</f>
        <v>0</v>
      </c>
      <c r="E19" s="711">
        <f>transport!D14</f>
        <v>4.862081886089352</v>
      </c>
      <c r="F19" s="711">
        <f>transport!E14</f>
        <v>522.64368428188095</v>
      </c>
      <c r="G19" s="711">
        <f>transport!F14</f>
        <v>0</v>
      </c>
      <c r="H19" s="711">
        <f>transport!G14</f>
        <v>98622.239130285219</v>
      </c>
      <c r="I19" s="711">
        <f>transport!H14</f>
        <v>16373.01065039833</v>
      </c>
      <c r="J19" s="711">
        <f>transport!I14</f>
        <v>0</v>
      </c>
      <c r="K19" s="711">
        <f>transport!J14</f>
        <v>0</v>
      </c>
      <c r="L19" s="711">
        <f>transport!K14</f>
        <v>0</v>
      </c>
      <c r="M19" s="711">
        <f>transport!L14</f>
        <v>0</v>
      </c>
      <c r="N19" s="711">
        <f>transport!M14</f>
        <v>5016.2334899173738</v>
      </c>
      <c r="O19" s="711">
        <f>transport!N14</f>
        <v>0</v>
      </c>
      <c r="P19" s="711">
        <f>transport!O14</f>
        <v>0</v>
      </c>
      <c r="Q19" s="712">
        <f>transport!P14</f>
        <v>0</v>
      </c>
      <c r="R19" s="713">
        <f>SUM(C19:Q19)</f>
        <v>120539.94453921002</v>
      </c>
      <c r="S19" s="67"/>
    </row>
    <row r="20" spans="1:19" s="457" customFormat="1" ht="15.75" thickBot="1">
      <c r="A20" s="714" t="s">
        <v>231</v>
      </c>
      <c r="B20" s="866"/>
      <c r="C20" s="861">
        <f>SUM(C17:C19)</f>
        <v>0.95550244112113758</v>
      </c>
      <c r="D20" s="715">
        <f t="shared" ref="D20:R20" si="1">SUM(D17:D19)</f>
        <v>0</v>
      </c>
      <c r="E20" s="715">
        <f t="shared" si="1"/>
        <v>4.862081886089352</v>
      </c>
      <c r="F20" s="715">
        <f t="shared" si="1"/>
        <v>522.64368428188095</v>
      </c>
      <c r="G20" s="715">
        <f t="shared" si="1"/>
        <v>0</v>
      </c>
      <c r="H20" s="715">
        <f t="shared" si="1"/>
        <v>98909.386060469536</v>
      </c>
      <c r="I20" s="715">
        <f t="shared" si="1"/>
        <v>16373.01065039833</v>
      </c>
      <c r="J20" s="715">
        <f t="shared" si="1"/>
        <v>0</v>
      </c>
      <c r="K20" s="715">
        <f t="shared" si="1"/>
        <v>0</v>
      </c>
      <c r="L20" s="715">
        <f t="shared" si="1"/>
        <v>0</v>
      </c>
      <c r="M20" s="715">
        <f t="shared" si="1"/>
        <v>0</v>
      </c>
      <c r="N20" s="715">
        <f t="shared" si="1"/>
        <v>5028.4733160480218</v>
      </c>
      <c r="O20" s="715">
        <f t="shared" si="1"/>
        <v>0</v>
      </c>
      <c r="P20" s="715">
        <f t="shared" si="1"/>
        <v>0</v>
      </c>
      <c r="Q20" s="716">
        <f t="shared" si="1"/>
        <v>0</v>
      </c>
      <c r="R20" s="717">
        <f t="shared" si="1"/>
        <v>120839.33129552497</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1771.2846822828078</v>
      </c>
      <c r="D22" s="711">
        <f>+landbouw!C8</f>
        <v>0</v>
      </c>
      <c r="E22" s="711">
        <f>+landbouw!D8</f>
        <v>5669.3503471996983</v>
      </c>
      <c r="F22" s="711">
        <f>+landbouw!E8</f>
        <v>18.549276660361564</v>
      </c>
      <c r="G22" s="711">
        <f>+landbouw!F8</f>
        <v>9097.6001597105751</v>
      </c>
      <c r="H22" s="711">
        <f>+landbouw!G8</f>
        <v>0</v>
      </c>
      <c r="I22" s="711">
        <f>+landbouw!H8</f>
        <v>0</v>
      </c>
      <c r="J22" s="711">
        <f>+landbouw!I8</f>
        <v>0</v>
      </c>
      <c r="K22" s="711">
        <f>+landbouw!J8</f>
        <v>158.19159842330623</v>
      </c>
      <c r="L22" s="711">
        <f>+landbouw!K8</f>
        <v>0</v>
      </c>
      <c r="M22" s="711">
        <f>+landbouw!L8</f>
        <v>0</v>
      </c>
      <c r="N22" s="711">
        <f>+landbouw!M8</f>
        <v>0</v>
      </c>
      <c r="O22" s="711">
        <f>+landbouw!N8</f>
        <v>0</v>
      </c>
      <c r="P22" s="711">
        <f>+landbouw!O8</f>
        <v>0</v>
      </c>
      <c r="Q22" s="712">
        <f>+landbouw!P8</f>
        <v>0</v>
      </c>
      <c r="R22" s="713">
        <f>SUM(C22:Q22)</f>
        <v>16714.976064276751</v>
      </c>
      <c r="S22" s="67"/>
    </row>
    <row r="23" spans="1:19" s="457" customFormat="1" ht="17.25" thickTop="1" thickBot="1">
      <c r="A23" s="718" t="s">
        <v>116</v>
      </c>
      <c r="B23" s="852"/>
      <c r="C23" s="719">
        <f ca="1">C20+C15+C22</f>
        <v>130529.16890859438</v>
      </c>
      <c r="D23" s="719">
        <f t="shared" ref="D23:Q23" ca="1" si="2">D20+D15+D22</f>
        <v>0</v>
      </c>
      <c r="E23" s="719">
        <f t="shared" ca="1" si="2"/>
        <v>154563.63511043834</v>
      </c>
      <c r="F23" s="719">
        <f t="shared" si="2"/>
        <v>5367.2974197593285</v>
      </c>
      <c r="G23" s="719">
        <f t="shared" ca="1" si="2"/>
        <v>43399.759521400789</v>
      </c>
      <c r="H23" s="719">
        <f t="shared" si="2"/>
        <v>98909.386060469536</v>
      </c>
      <c r="I23" s="719">
        <f t="shared" si="2"/>
        <v>16373.01065039833</v>
      </c>
      <c r="J23" s="719">
        <f t="shared" si="2"/>
        <v>0</v>
      </c>
      <c r="K23" s="719">
        <f t="shared" si="2"/>
        <v>3689.6558765386653</v>
      </c>
      <c r="L23" s="719">
        <f t="shared" si="2"/>
        <v>0</v>
      </c>
      <c r="M23" s="719">
        <f t="shared" ca="1" si="2"/>
        <v>0</v>
      </c>
      <c r="N23" s="719">
        <f t="shared" si="2"/>
        <v>5028.4733160480218</v>
      </c>
      <c r="O23" s="719">
        <f t="shared" ca="1" si="2"/>
        <v>13967.057300852823</v>
      </c>
      <c r="P23" s="719">
        <f t="shared" si="2"/>
        <v>64.096666666666664</v>
      </c>
      <c r="Q23" s="720">
        <f t="shared" si="2"/>
        <v>209.73333333333332</v>
      </c>
      <c r="R23" s="721">
        <f ca="1">R20+R15+R22</f>
        <v>472101.27416450018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5205.691165269749</v>
      </c>
      <c r="D36" s="702">
        <f ca="1">tertiair!C20</f>
        <v>0</v>
      </c>
      <c r="E36" s="702">
        <f ca="1">tertiair!D20</f>
        <v>4423.5017644029831</v>
      </c>
      <c r="F36" s="702">
        <f>tertiair!E20</f>
        <v>82.146949419427131</v>
      </c>
      <c r="G36" s="702">
        <f ca="1">tertiair!F20</f>
        <v>1157.658338624861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10868.99821771702</v>
      </c>
    </row>
    <row r="37" spans="1:18">
      <c r="A37" s="873" t="s">
        <v>226</v>
      </c>
      <c r="B37" s="880"/>
      <c r="C37" s="702">
        <f ca="1">huishoudens!B12</f>
        <v>8012.0398856193533</v>
      </c>
      <c r="D37" s="702">
        <f ca="1">huishoudens!C12</f>
        <v>0</v>
      </c>
      <c r="E37" s="702">
        <f>huishoudens!D12</f>
        <v>17107.633250833958</v>
      </c>
      <c r="F37" s="702">
        <f>huishoudens!E12</f>
        <v>846.17084147496598</v>
      </c>
      <c r="G37" s="702">
        <f>huishoudens!F12</f>
        <v>4034.0163166497027</v>
      </c>
      <c r="H37" s="702">
        <f>huishoudens!G12</f>
        <v>0</v>
      </c>
      <c r="I37" s="702">
        <f>huishoudens!H12</f>
        <v>0</v>
      </c>
      <c r="J37" s="702">
        <f>huishoudens!I12</f>
        <v>0</v>
      </c>
      <c r="K37" s="702">
        <f>huishoudens!J12</f>
        <v>1110.9418063713808</v>
      </c>
      <c r="L37" s="702">
        <f>huishoudens!K12</f>
        <v>0</v>
      </c>
      <c r="M37" s="702">
        <f>huishoudens!L12</f>
        <v>0</v>
      </c>
      <c r="N37" s="702">
        <f>huishoudens!M12</f>
        <v>0</v>
      </c>
      <c r="O37" s="702">
        <f>huishoudens!N12</f>
        <v>0</v>
      </c>
      <c r="P37" s="702">
        <f>huishoudens!O12</f>
        <v>0</v>
      </c>
      <c r="Q37" s="812">
        <f>huishoudens!P12</f>
        <v>0</v>
      </c>
      <c r="R37" s="905">
        <f ca="1">SUM(C37:Q37)</f>
        <v>31110.802100949364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14586.396192174881</v>
      </c>
      <c r="D39" s="702">
        <f ca="1">industrie!C22</f>
        <v>0</v>
      </c>
      <c r="E39" s="702">
        <f>industrie!D22</f>
        <v>8544.5283663962764</v>
      </c>
      <c r="F39" s="702">
        <f>industrie!E22</f>
        <v>167.20792125708513</v>
      </c>
      <c r="G39" s="702">
        <f>industrie!F22</f>
        <v>3967.0018942967231</v>
      </c>
      <c r="H39" s="702">
        <f>industrie!G22</f>
        <v>0</v>
      </c>
      <c r="I39" s="702">
        <f>industrie!H22</f>
        <v>0</v>
      </c>
      <c r="J39" s="702">
        <f>industrie!I22</f>
        <v>0</v>
      </c>
      <c r="K39" s="702">
        <f>industrie!J22</f>
        <v>139.1965480814562</v>
      </c>
      <c r="L39" s="702">
        <f>industrie!K22</f>
        <v>0</v>
      </c>
      <c r="M39" s="702">
        <f>industrie!L22</f>
        <v>0</v>
      </c>
      <c r="N39" s="702">
        <f>industrie!M22</f>
        <v>0</v>
      </c>
      <c r="O39" s="702">
        <f>industrie!N22</f>
        <v>0</v>
      </c>
      <c r="P39" s="702">
        <f>industrie!O22</f>
        <v>0</v>
      </c>
      <c r="Q39" s="812">
        <f>industrie!P22</f>
        <v>0</v>
      </c>
      <c r="R39" s="906">
        <f ca="1">SUM(C39:Q39)</f>
        <v>27404.330922206424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27804.127243063984</v>
      </c>
      <c r="D41" s="747">
        <f t="shared" ref="D41:R41" ca="1" si="4">SUM(D35:D40)</f>
        <v>0</v>
      </c>
      <c r="E41" s="747">
        <f t="shared" ca="1" si="4"/>
        <v>30075.663381633218</v>
      </c>
      <c r="F41" s="747">
        <f t="shared" si="4"/>
        <v>1095.5257121514783</v>
      </c>
      <c r="G41" s="747">
        <f t="shared" ca="1" si="4"/>
        <v>9158.6765495712862</v>
      </c>
      <c r="H41" s="747">
        <f t="shared" si="4"/>
        <v>0</v>
      </c>
      <c r="I41" s="747">
        <f t="shared" si="4"/>
        <v>0</v>
      </c>
      <c r="J41" s="747">
        <f t="shared" si="4"/>
        <v>0</v>
      </c>
      <c r="K41" s="747">
        <f t="shared" si="4"/>
        <v>1250.1383544528371</v>
      </c>
      <c r="L41" s="747">
        <f t="shared" si="4"/>
        <v>0</v>
      </c>
      <c r="M41" s="747">
        <f t="shared" ca="1" si="4"/>
        <v>0</v>
      </c>
      <c r="N41" s="747">
        <f t="shared" si="4"/>
        <v>0</v>
      </c>
      <c r="O41" s="747">
        <f t="shared" ca="1" si="4"/>
        <v>0</v>
      </c>
      <c r="P41" s="747">
        <f t="shared" si="4"/>
        <v>0</v>
      </c>
      <c r="Q41" s="748">
        <f t="shared" si="4"/>
        <v>0</v>
      </c>
      <c r="R41" s="749">
        <f t="shared" ca="1" si="4"/>
        <v>69384.131240872812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76.668230359211563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76.668230359211563</v>
      </c>
    </row>
    <row r="45" spans="1:18" ht="15" thickBot="1">
      <c r="A45" s="876" t="s">
        <v>308</v>
      </c>
      <c r="B45" s="886"/>
      <c r="C45" s="711">
        <f ca="1">transport!B18</f>
        <v>0.20633383940809299</v>
      </c>
      <c r="D45" s="711">
        <f>transport!C18</f>
        <v>0</v>
      </c>
      <c r="E45" s="711">
        <f>transport!D18</f>
        <v>0.98214054099004922</v>
      </c>
      <c r="F45" s="711">
        <f>transport!E18</f>
        <v>118.64011633198697</v>
      </c>
      <c r="G45" s="711">
        <f>transport!F18</f>
        <v>0</v>
      </c>
      <c r="H45" s="711">
        <f>transport!G18</f>
        <v>26332.137847786154</v>
      </c>
      <c r="I45" s="711">
        <f>transport!H18</f>
        <v>4076.8796519491839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30528.846090447725</v>
      </c>
    </row>
    <row r="46" spans="1:18" ht="15.75" thickBot="1">
      <c r="A46" s="874" t="s">
        <v>231</v>
      </c>
      <c r="B46" s="887"/>
      <c r="C46" s="747">
        <f t="shared" ref="C46:R46" ca="1" si="5">SUM(C43:C45)</f>
        <v>0.20633383940809299</v>
      </c>
      <c r="D46" s="747">
        <f t="shared" ca="1" si="5"/>
        <v>0</v>
      </c>
      <c r="E46" s="747">
        <f t="shared" si="5"/>
        <v>0.98214054099004922</v>
      </c>
      <c r="F46" s="747">
        <f t="shared" si="5"/>
        <v>118.64011633198697</v>
      </c>
      <c r="G46" s="747">
        <f t="shared" si="5"/>
        <v>0</v>
      </c>
      <c r="H46" s="747">
        <f t="shared" si="5"/>
        <v>26408.806078145368</v>
      </c>
      <c r="I46" s="747">
        <f t="shared" si="5"/>
        <v>4076.8796519491839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30605.514320806938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382.49611246552666</v>
      </c>
      <c r="D48" s="702">
        <f ca="1">+landbouw!C12</f>
        <v>0</v>
      </c>
      <c r="E48" s="702">
        <f>+landbouw!D12</f>
        <v>1145.2087701343391</v>
      </c>
      <c r="F48" s="702">
        <f>+landbouw!E12</f>
        <v>4.2106858019020752</v>
      </c>
      <c r="G48" s="702">
        <f>+landbouw!F12</f>
        <v>2429.0592426427238</v>
      </c>
      <c r="H48" s="702">
        <f>+landbouw!G12</f>
        <v>0</v>
      </c>
      <c r="I48" s="702">
        <f>+landbouw!H12</f>
        <v>0</v>
      </c>
      <c r="J48" s="702">
        <f>+landbouw!I12</f>
        <v>0</v>
      </c>
      <c r="K48" s="702">
        <f>+landbouw!J12</f>
        <v>55.999825841850402</v>
      </c>
      <c r="L48" s="702">
        <f>+landbouw!K12</f>
        <v>0</v>
      </c>
      <c r="M48" s="702">
        <f>+landbouw!L12</f>
        <v>0</v>
      </c>
      <c r="N48" s="702">
        <f>+landbouw!M12</f>
        <v>0</v>
      </c>
      <c r="O48" s="702">
        <f>+landbouw!N12</f>
        <v>0</v>
      </c>
      <c r="P48" s="702">
        <f>+landbouw!O12</f>
        <v>0</v>
      </c>
      <c r="Q48" s="703">
        <f>+landbouw!P12</f>
        <v>0</v>
      </c>
      <c r="R48" s="745">
        <f ca="1">SUM(C48:Q48)</f>
        <v>4016.9746368863421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28186.829689368918</v>
      </c>
      <c r="D53" s="757">
        <f t="shared" ref="D53:Q53" ca="1" si="6">D41+D46+D48</f>
        <v>0</v>
      </c>
      <c r="E53" s="757">
        <f t="shared" ca="1" si="6"/>
        <v>31221.854292308548</v>
      </c>
      <c r="F53" s="757">
        <f t="shared" si="6"/>
        <v>1218.3765142853674</v>
      </c>
      <c r="G53" s="757">
        <f t="shared" ca="1" si="6"/>
        <v>11587.735792214011</v>
      </c>
      <c r="H53" s="757">
        <f t="shared" si="6"/>
        <v>26408.806078145368</v>
      </c>
      <c r="I53" s="757">
        <f t="shared" si="6"/>
        <v>4076.8796519491839</v>
      </c>
      <c r="J53" s="757">
        <f t="shared" si="6"/>
        <v>0</v>
      </c>
      <c r="K53" s="757">
        <f t="shared" si="6"/>
        <v>1306.1381802946876</v>
      </c>
      <c r="L53" s="757">
        <f t="shared" si="6"/>
        <v>0</v>
      </c>
      <c r="M53" s="757">
        <f t="shared" ca="1" si="6"/>
        <v>0</v>
      </c>
      <c r="N53" s="757">
        <f t="shared" si="6"/>
        <v>0</v>
      </c>
      <c r="O53" s="757">
        <f t="shared" ca="1" si="6"/>
        <v>0</v>
      </c>
      <c r="P53" s="757">
        <f>P41+P46+P48</f>
        <v>0</v>
      </c>
      <c r="Q53" s="758">
        <f t="shared" si="6"/>
        <v>0</v>
      </c>
      <c r="R53" s="759">
        <f ca="1">R41+R46+R48</f>
        <v>104006.62019856609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0.21594276532249509</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2491.9531195947475</v>
      </c>
      <c r="C66" s="779">
        <f>'lokale energieproductie'!B6</f>
        <v>2491.9531195947475</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495</v>
      </c>
      <c r="C68" s="778">
        <f>B68*IFERROR(SUM(J68:L68)/SUM(D68:M68),0)</f>
        <v>495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1414.2857142857144</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2986.9531195947475</v>
      </c>
      <c r="C69" s="787">
        <f>SUM(C64:C68)</f>
        <v>2986.9531195947475</v>
      </c>
      <c r="D69" s="788">
        <f t="shared" ref="D69:M69" si="8">SUM(D67:D68)</f>
        <v>0</v>
      </c>
      <c r="E69" s="788">
        <f t="shared" si="8"/>
        <v>0</v>
      </c>
      <c r="F69" s="788">
        <f t="shared" si="8"/>
        <v>0</v>
      </c>
      <c r="G69" s="788">
        <f t="shared" si="8"/>
        <v>0</v>
      </c>
      <c r="H69" s="788">
        <f t="shared" si="8"/>
        <v>0</v>
      </c>
      <c r="I69" s="788">
        <f t="shared" si="8"/>
        <v>0</v>
      </c>
      <c r="J69" s="788">
        <f t="shared" si="8"/>
        <v>0</v>
      </c>
      <c r="K69" s="788">
        <f t="shared" si="8"/>
        <v>1414.2857142857144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37102.608525244847</v>
      </c>
      <c r="C4" s="461">
        <f>huishoudens!C8</f>
        <v>0</v>
      </c>
      <c r="D4" s="461">
        <f>huishoudens!D8</f>
        <v>84691.253716999781</v>
      </c>
      <c r="E4" s="461">
        <f>huishoudens!E8</f>
        <v>3727.6248523126255</v>
      </c>
      <c r="F4" s="461">
        <f>huishoudens!F8</f>
        <v>15108.675343257313</v>
      </c>
      <c r="G4" s="461">
        <f>huishoudens!G8</f>
        <v>0</v>
      </c>
      <c r="H4" s="461">
        <f>huishoudens!H8</f>
        <v>0</v>
      </c>
      <c r="I4" s="461">
        <f>huishoudens!I8</f>
        <v>0</v>
      </c>
      <c r="J4" s="461">
        <f>huishoudens!J8</f>
        <v>3138.2536903146352</v>
      </c>
      <c r="K4" s="461">
        <f>huishoudens!K8</f>
        <v>0</v>
      </c>
      <c r="L4" s="461">
        <f>huishoudens!L8</f>
        <v>0</v>
      </c>
      <c r="M4" s="461">
        <f>huishoudens!M8</f>
        <v>0</v>
      </c>
      <c r="N4" s="461">
        <f>huishoudens!N8</f>
        <v>12715.297236896282</v>
      </c>
      <c r="O4" s="461">
        <f>huishoudens!O8</f>
        <v>62.533333333333331</v>
      </c>
      <c r="P4" s="462">
        <f>huishoudens!P8</f>
        <v>171.6</v>
      </c>
      <c r="Q4" s="463">
        <f>SUM(B4:P4)</f>
        <v>156717.8466983588</v>
      </c>
    </row>
    <row r="5" spans="1:17">
      <c r="A5" s="460" t="s">
        <v>156</v>
      </c>
      <c r="B5" s="461">
        <f ca="1">tertiair!B16</f>
        <v>22797.333772003338</v>
      </c>
      <c r="C5" s="461">
        <f ca="1">tertiair!C16</f>
        <v>0</v>
      </c>
      <c r="D5" s="461">
        <f ca="1">tertiair!D16</f>
        <v>21898.52358615338</v>
      </c>
      <c r="E5" s="461">
        <f>tertiair!E16</f>
        <v>361.88083444681553</v>
      </c>
      <c r="F5" s="461">
        <f ca="1">tertiair!F16</f>
        <v>4335.799021066895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38.133333333333333</v>
      </c>
      <c r="Q5" s="460">
        <f t="shared" ref="Q5:Q13" ca="1" si="0">SUM(B5:P5)</f>
        <v>49433.233880337088</v>
      </c>
    </row>
    <row r="6" spans="1:17">
      <c r="A6" s="460" t="s">
        <v>195</v>
      </c>
      <c r="B6" s="461">
        <f>'openbare verlichting'!B8</f>
        <v>1309.4760000000001</v>
      </c>
      <c r="C6" s="461"/>
      <c r="D6" s="461"/>
      <c r="E6" s="461"/>
      <c r="F6" s="461"/>
      <c r="G6" s="461"/>
      <c r="H6" s="461"/>
      <c r="I6" s="461"/>
      <c r="J6" s="461"/>
      <c r="K6" s="461"/>
      <c r="L6" s="461"/>
      <c r="M6" s="461"/>
      <c r="N6" s="461"/>
      <c r="O6" s="461"/>
      <c r="P6" s="462"/>
      <c r="Q6" s="460">
        <f t="shared" si="0"/>
        <v>1309.4760000000001</v>
      </c>
    </row>
    <row r="7" spans="1:17">
      <c r="A7" s="460" t="s">
        <v>112</v>
      </c>
      <c r="B7" s="461">
        <f>landbouw!B8</f>
        <v>1771.2846822828078</v>
      </c>
      <c r="C7" s="461">
        <f>landbouw!C8</f>
        <v>0</v>
      </c>
      <c r="D7" s="461">
        <f>landbouw!D8</f>
        <v>5669.3503471996983</v>
      </c>
      <c r="E7" s="461">
        <f>landbouw!E8</f>
        <v>18.549276660361564</v>
      </c>
      <c r="F7" s="461">
        <f>landbouw!F8</f>
        <v>9097.6001597105751</v>
      </c>
      <c r="G7" s="461">
        <f>landbouw!G8</f>
        <v>0</v>
      </c>
      <c r="H7" s="461">
        <f>landbouw!H8</f>
        <v>0</v>
      </c>
      <c r="I7" s="461">
        <f>landbouw!I8</f>
        <v>0</v>
      </c>
      <c r="J7" s="461">
        <f>landbouw!J8</f>
        <v>158.19159842330623</v>
      </c>
      <c r="K7" s="461">
        <f>landbouw!K8</f>
        <v>0</v>
      </c>
      <c r="L7" s="461">
        <f>landbouw!L8</f>
        <v>0</v>
      </c>
      <c r="M7" s="461">
        <f>landbouw!M8</f>
        <v>0</v>
      </c>
      <c r="N7" s="461">
        <f>landbouw!N8</f>
        <v>0</v>
      </c>
      <c r="O7" s="461">
        <f>landbouw!O8</f>
        <v>0</v>
      </c>
      <c r="P7" s="462">
        <f>landbouw!P8</f>
        <v>0</v>
      </c>
      <c r="Q7" s="460">
        <f t="shared" si="0"/>
        <v>16714.976064276751</v>
      </c>
    </row>
    <row r="8" spans="1:17">
      <c r="A8" s="460" t="s">
        <v>656</v>
      </c>
      <c r="B8" s="461">
        <f>industrie!B18</f>
        <v>67547.510426622262</v>
      </c>
      <c r="C8" s="461">
        <f>industrie!C18</f>
        <v>0</v>
      </c>
      <c r="D8" s="461">
        <f>industrie!D18</f>
        <v>42299.645378199384</v>
      </c>
      <c r="E8" s="461">
        <f>industrie!E18</f>
        <v>736.59877205764371</v>
      </c>
      <c r="F8" s="461">
        <f>industrie!F18</f>
        <v>14857.684997366003</v>
      </c>
      <c r="G8" s="461">
        <f>industrie!G18</f>
        <v>0</v>
      </c>
      <c r="H8" s="461">
        <f>industrie!H18</f>
        <v>0</v>
      </c>
      <c r="I8" s="461">
        <f>industrie!I18</f>
        <v>0</v>
      </c>
      <c r="J8" s="461">
        <f>industrie!J18</f>
        <v>393.21058780072372</v>
      </c>
      <c r="K8" s="461">
        <f>industrie!K18</f>
        <v>0</v>
      </c>
      <c r="L8" s="461">
        <f>industrie!L18</f>
        <v>0</v>
      </c>
      <c r="M8" s="461">
        <f>industrie!M18</f>
        <v>0</v>
      </c>
      <c r="N8" s="461">
        <f>industrie!N18</f>
        <v>1251.7600639565412</v>
      </c>
      <c r="O8" s="461">
        <f>industrie!O18</f>
        <v>0</v>
      </c>
      <c r="P8" s="462">
        <f>industrie!P18</f>
        <v>0</v>
      </c>
      <c r="Q8" s="460">
        <f t="shared" si="0"/>
        <v>127086.41022600254</v>
      </c>
    </row>
    <row r="9" spans="1:17" s="466" customFormat="1">
      <c r="A9" s="464" t="s">
        <v>574</v>
      </c>
      <c r="B9" s="465">
        <f>transport!B14</f>
        <v>0.95550244112113758</v>
      </c>
      <c r="C9" s="465"/>
      <c r="D9" s="465">
        <f>transport!D14</f>
        <v>4.862081886089352</v>
      </c>
      <c r="E9" s="465">
        <f>transport!E14</f>
        <v>522.64368428188095</v>
      </c>
      <c r="F9" s="465"/>
      <c r="G9" s="465">
        <f>transport!G14</f>
        <v>98622.239130285219</v>
      </c>
      <c r="H9" s="465">
        <f>transport!H14</f>
        <v>16373.01065039833</v>
      </c>
      <c r="I9" s="465"/>
      <c r="J9" s="465"/>
      <c r="K9" s="465"/>
      <c r="L9" s="465"/>
      <c r="M9" s="465">
        <f>transport!M14</f>
        <v>5016.2334899173738</v>
      </c>
      <c r="N9" s="465"/>
      <c r="O9" s="465"/>
      <c r="P9" s="465"/>
      <c r="Q9" s="464">
        <f>SUM(B9:P9)</f>
        <v>120539.94453921002</v>
      </c>
    </row>
    <row r="10" spans="1:17">
      <c r="A10" s="460" t="s">
        <v>564</v>
      </c>
      <c r="B10" s="461">
        <f>transport!B54</f>
        <v>0</v>
      </c>
      <c r="C10" s="461"/>
      <c r="D10" s="461">
        <f>transport!D54</f>
        <v>0</v>
      </c>
      <c r="E10" s="461"/>
      <c r="F10" s="461"/>
      <c r="G10" s="461">
        <f>transport!G54</f>
        <v>287.14693018431296</v>
      </c>
      <c r="H10" s="461"/>
      <c r="I10" s="461"/>
      <c r="J10" s="461"/>
      <c r="K10" s="461"/>
      <c r="L10" s="461"/>
      <c r="M10" s="461">
        <f>transport!M54</f>
        <v>12.239826130647851</v>
      </c>
      <c r="N10" s="461"/>
      <c r="O10" s="461"/>
      <c r="P10" s="462"/>
      <c r="Q10" s="460">
        <f t="shared" si="0"/>
        <v>299.38675631496079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130529.16890859438</v>
      </c>
      <c r="C14" s="471">
        <f t="shared" ref="C14:Q14" ca="1" si="1">SUM(C4:C13)</f>
        <v>0</v>
      </c>
      <c r="D14" s="471">
        <f t="shared" ca="1" si="1"/>
        <v>154563.63511043834</v>
      </c>
      <c r="E14" s="471">
        <f t="shared" si="1"/>
        <v>5367.2974197593285</v>
      </c>
      <c r="F14" s="471">
        <f t="shared" ca="1" si="1"/>
        <v>43399.759521400789</v>
      </c>
      <c r="G14" s="471">
        <f t="shared" si="1"/>
        <v>98909.386060469536</v>
      </c>
      <c r="H14" s="471">
        <f t="shared" si="1"/>
        <v>16373.01065039833</v>
      </c>
      <c r="I14" s="471">
        <f t="shared" si="1"/>
        <v>0</v>
      </c>
      <c r="J14" s="471">
        <f t="shared" si="1"/>
        <v>3689.6558765386649</v>
      </c>
      <c r="K14" s="471">
        <f t="shared" si="1"/>
        <v>0</v>
      </c>
      <c r="L14" s="471">
        <f t="shared" ca="1" si="1"/>
        <v>0</v>
      </c>
      <c r="M14" s="471">
        <f t="shared" si="1"/>
        <v>5028.4733160480218</v>
      </c>
      <c r="N14" s="471">
        <f t="shared" ca="1" si="1"/>
        <v>13967.057300852823</v>
      </c>
      <c r="O14" s="471">
        <f t="shared" si="1"/>
        <v>64.096666666666664</v>
      </c>
      <c r="P14" s="472">
        <f t="shared" si="1"/>
        <v>209.73333333333332</v>
      </c>
      <c r="Q14" s="472">
        <f t="shared" ca="1" si="1"/>
        <v>472101.27416450018</v>
      </c>
    </row>
    <row r="16" spans="1:17">
      <c r="A16" s="474" t="s">
        <v>569</v>
      </c>
      <c r="B16" s="828">
        <f ca="1">huishoudens!B10</f>
        <v>0.21594276532249509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8012.0398856193533</v>
      </c>
      <c r="C21" s="461">
        <f t="shared" ref="C21:C28" ca="1" si="3">C4*$C$16</f>
        <v>0</v>
      </c>
      <c r="D21" s="461">
        <f t="shared" ref="D21:D30" si="4">D4*$D$16</f>
        <v>17107.633250833958</v>
      </c>
      <c r="E21" s="461">
        <f t="shared" ref="E21:E30" si="5">E4*$E$16</f>
        <v>846.17084147496598</v>
      </c>
      <c r="F21" s="461">
        <f t="shared" ref="F21:F28" si="6">F4*$F$16</f>
        <v>4034.0163166497027</v>
      </c>
      <c r="G21" s="461">
        <f t="shared" ref="G21:G30" si="7">G4*$G$16</f>
        <v>0</v>
      </c>
      <c r="H21" s="461">
        <f t="shared" ref="H21:H30" si="8">H4*$H$16</f>
        <v>0</v>
      </c>
      <c r="I21" s="461">
        <f t="shared" ref="I21:I28" si="9">I4*$I$16</f>
        <v>0</v>
      </c>
      <c r="J21" s="461">
        <f t="shared" ref="J21:J28" si="10">J4*$J$16</f>
        <v>1110.9418063713808</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31110.802100949364</v>
      </c>
    </row>
    <row r="22" spans="1:17">
      <c r="A22" s="460" t="s">
        <v>156</v>
      </c>
      <c r="B22" s="461">
        <f t="shared" ca="1" si="2"/>
        <v>4922.9192967063091</v>
      </c>
      <c r="C22" s="461">
        <f t="shared" ca="1" si="3"/>
        <v>0</v>
      </c>
      <c r="D22" s="461">
        <f t="shared" ca="1" si="4"/>
        <v>4423.5017644029831</v>
      </c>
      <c r="E22" s="461">
        <f t="shared" si="5"/>
        <v>82.146949419427131</v>
      </c>
      <c r="F22" s="461">
        <f t="shared" ca="1" si="6"/>
        <v>1157.658338624861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10586.226349153581</v>
      </c>
    </row>
    <row r="23" spans="1:17">
      <c r="A23" s="460" t="s">
        <v>195</v>
      </c>
      <c r="B23" s="461">
        <f t="shared" ca="1" si="2"/>
        <v>282.77186856343963</v>
      </c>
      <c r="C23" s="461"/>
      <c r="D23" s="461"/>
      <c r="E23" s="461"/>
      <c r="F23" s="461"/>
      <c r="G23" s="461"/>
      <c r="H23" s="461"/>
      <c r="I23" s="461"/>
      <c r="J23" s="461"/>
      <c r="K23" s="461"/>
      <c r="L23" s="461"/>
      <c r="M23" s="461"/>
      <c r="N23" s="461"/>
      <c r="O23" s="461"/>
      <c r="P23" s="462"/>
      <c r="Q23" s="460">
        <f t="shared" ca="1" si="17"/>
        <v>282.77186856343963</v>
      </c>
    </row>
    <row r="24" spans="1:17">
      <c r="A24" s="460" t="s">
        <v>112</v>
      </c>
      <c r="B24" s="461">
        <f t="shared" ca="1" si="2"/>
        <v>382.49611246552666</v>
      </c>
      <c r="C24" s="461">
        <f t="shared" ca="1" si="3"/>
        <v>0</v>
      </c>
      <c r="D24" s="461">
        <f t="shared" si="4"/>
        <v>1145.2087701343391</v>
      </c>
      <c r="E24" s="461">
        <f t="shared" si="5"/>
        <v>4.2106858019020752</v>
      </c>
      <c r="F24" s="461">
        <f t="shared" si="6"/>
        <v>2429.0592426427238</v>
      </c>
      <c r="G24" s="461">
        <f t="shared" si="7"/>
        <v>0</v>
      </c>
      <c r="H24" s="461">
        <f t="shared" si="8"/>
        <v>0</v>
      </c>
      <c r="I24" s="461">
        <f t="shared" si="9"/>
        <v>0</v>
      </c>
      <c r="J24" s="461">
        <f t="shared" si="10"/>
        <v>55.999825841850402</v>
      </c>
      <c r="K24" s="461">
        <f t="shared" si="11"/>
        <v>0</v>
      </c>
      <c r="L24" s="461">
        <f t="shared" si="12"/>
        <v>0</v>
      </c>
      <c r="M24" s="461">
        <f t="shared" si="13"/>
        <v>0</v>
      </c>
      <c r="N24" s="461">
        <f t="shared" si="14"/>
        <v>0</v>
      </c>
      <c r="O24" s="461">
        <f t="shared" si="15"/>
        <v>0</v>
      </c>
      <c r="P24" s="462">
        <f t="shared" si="16"/>
        <v>0</v>
      </c>
      <c r="Q24" s="460">
        <f t="shared" ca="1" si="17"/>
        <v>4016.9746368863421</v>
      </c>
    </row>
    <row r="25" spans="1:17">
      <c r="A25" s="460" t="s">
        <v>656</v>
      </c>
      <c r="B25" s="461">
        <f t="shared" ca="1" si="2"/>
        <v>14586.396192174881</v>
      </c>
      <c r="C25" s="461">
        <f t="shared" ca="1" si="3"/>
        <v>0</v>
      </c>
      <c r="D25" s="461">
        <f t="shared" si="4"/>
        <v>8544.5283663962764</v>
      </c>
      <c r="E25" s="461">
        <f t="shared" si="5"/>
        <v>167.20792125708513</v>
      </c>
      <c r="F25" s="461">
        <f t="shared" si="6"/>
        <v>3967.0018942967231</v>
      </c>
      <c r="G25" s="461">
        <f t="shared" si="7"/>
        <v>0</v>
      </c>
      <c r="H25" s="461">
        <f t="shared" si="8"/>
        <v>0</v>
      </c>
      <c r="I25" s="461">
        <f t="shared" si="9"/>
        <v>0</v>
      </c>
      <c r="J25" s="461">
        <f t="shared" si="10"/>
        <v>139.1965480814562</v>
      </c>
      <c r="K25" s="461">
        <f t="shared" si="11"/>
        <v>0</v>
      </c>
      <c r="L25" s="461">
        <f t="shared" si="12"/>
        <v>0</v>
      </c>
      <c r="M25" s="461">
        <f t="shared" si="13"/>
        <v>0</v>
      </c>
      <c r="N25" s="461">
        <f t="shared" si="14"/>
        <v>0</v>
      </c>
      <c r="O25" s="461">
        <f t="shared" si="15"/>
        <v>0</v>
      </c>
      <c r="P25" s="462">
        <f t="shared" si="16"/>
        <v>0</v>
      </c>
      <c r="Q25" s="460">
        <f t="shared" ca="1" si="17"/>
        <v>27404.330922206424</v>
      </c>
    </row>
    <row r="26" spans="1:17" s="466" customFormat="1">
      <c r="A26" s="464" t="s">
        <v>574</v>
      </c>
      <c r="B26" s="822">
        <f t="shared" ca="1" si="2"/>
        <v>0.20633383940809299</v>
      </c>
      <c r="C26" s="465"/>
      <c r="D26" s="465">
        <f t="shared" si="4"/>
        <v>0.98214054099004922</v>
      </c>
      <c r="E26" s="465">
        <f t="shared" si="5"/>
        <v>118.64011633198697</v>
      </c>
      <c r="F26" s="465"/>
      <c r="G26" s="465">
        <f t="shared" si="7"/>
        <v>26332.137847786154</v>
      </c>
      <c r="H26" s="465">
        <f t="shared" si="8"/>
        <v>4076.8796519491839</v>
      </c>
      <c r="I26" s="465"/>
      <c r="J26" s="465"/>
      <c r="K26" s="465"/>
      <c r="L26" s="465"/>
      <c r="M26" s="465">
        <f t="shared" si="13"/>
        <v>0</v>
      </c>
      <c r="N26" s="465"/>
      <c r="O26" s="465"/>
      <c r="P26" s="476"/>
      <c r="Q26" s="464">
        <f t="shared" ca="1" si="17"/>
        <v>30528.846090447725</v>
      </c>
    </row>
    <row r="27" spans="1:17">
      <c r="A27" s="460" t="s">
        <v>564</v>
      </c>
      <c r="B27" s="461">
        <f t="shared" ca="1" si="2"/>
        <v>0</v>
      </c>
      <c r="C27" s="461"/>
      <c r="D27" s="465">
        <f>D10*$D$16</f>
        <v>0</v>
      </c>
      <c r="E27" s="461"/>
      <c r="F27" s="461"/>
      <c r="G27" s="461">
        <f t="shared" si="7"/>
        <v>76.668230359211563</v>
      </c>
      <c r="H27" s="461"/>
      <c r="I27" s="461"/>
      <c r="J27" s="461"/>
      <c r="K27" s="461"/>
      <c r="L27" s="461"/>
      <c r="M27" s="461">
        <f t="shared" si="13"/>
        <v>0</v>
      </c>
      <c r="N27" s="461"/>
      <c r="O27" s="461"/>
      <c r="P27" s="462"/>
      <c r="Q27" s="460">
        <f t="shared" ca="1" si="17"/>
        <v>76.668230359211563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28186.829689368918</v>
      </c>
      <c r="C31" s="471">
        <f t="shared" ca="1" si="18"/>
        <v>0</v>
      </c>
      <c r="D31" s="471">
        <f t="shared" ca="1" si="18"/>
        <v>31221.854292308548</v>
      </c>
      <c r="E31" s="471">
        <f t="shared" si="18"/>
        <v>1218.3765142853672</v>
      </c>
      <c r="F31" s="471">
        <f t="shared" ca="1" si="18"/>
        <v>11587.735792214011</v>
      </c>
      <c r="G31" s="471">
        <f t="shared" si="18"/>
        <v>26408.806078145368</v>
      </c>
      <c r="H31" s="471">
        <f t="shared" si="18"/>
        <v>4076.8796519491839</v>
      </c>
      <c r="I31" s="471">
        <f t="shared" si="18"/>
        <v>0</v>
      </c>
      <c r="J31" s="471">
        <f t="shared" si="18"/>
        <v>1306.1381802946876</v>
      </c>
      <c r="K31" s="471">
        <f t="shared" si="18"/>
        <v>0</v>
      </c>
      <c r="L31" s="471">
        <f t="shared" ca="1" si="18"/>
        <v>0</v>
      </c>
      <c r="M31" s="471">
        <f t="shared" si="18"/>
        <v>0</v>
      </c>
      <c r="N31" s="471">
        <f t="shared" ca="1" si="18"/>
        <v>0</v>
      </c>
      <c r="O31" s="471">
        <f t="shared" si="18"/>
        <v>0</v>
      </c>
      <c r="P31" s="472">
        <f t="shared" si="18"/>
        <v>0</v>
      </c>
      <c r="Q31" s="472">
        <f t="shared" ca="1" si="18"/>
        <v>104006.62019856609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0.21594276532249509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0.21594276532249509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0.21594276532249509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2018-12-05T15:57:37Z</dcterms:modified>
</cp:coreProperties>
</file>