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G8" i="18"/>
  <c r="G9" s="1"/>
  <c r="F8"/>
  <c r="F9" s="1"/>
  <c r="D8"/>
  <c r="D9" s="1"/>
  <c r="C8"/>
  <c r="D68" i="14" s="1"/>
  <c r="B6" i="18"/>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C18" i="16"/>
  <c r="C8" i="48" s="1"/>
  <c r="C97" i="18"/>
  <c r="I100" s="1"/>
  <c r="H7" s="1"/>
  <c r="I67" i="14" s="1"/>
  <c r="F16" i="16"/>
  <c r="D13" i="15"/>
  <c r="J15" i="16"/>
  <c r="C13" i="15"/>
  <c r="B16" i="16"/>
  <c r="B13" i="15"/>
  <c r="F6" i="17"/>
  <c r="F8" s="1"/>
  <c r="D8"/>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K14"/>
  <c r="I24"/>
  <c r="G81" i="14"/>
  <c r="D79"/>
  <c r="H79"/>
  <c r="H81" s="1"/>
  <c r="L79"/>
  <c r="L81" s="1"/>
  <c r="F79"/>
  <c r="J79"/>
  <c r="E68"/>
  <c r="E69" s="1"/>
  <c r="I68"/>
  <c r="M68"/>
  <c r="M69" s="1"/>
  <c r="D19" i="18"/>
  <c r="L19"/>
  <c r="B68" i="14"/>
  <c r="G68"/>
  <c r="G69" s="1"/>
  <c r="K68"/>
  <c r="E81"/>
  <c r="M81"/>
  <c r="B19" i="18"/>
  <c r="F19"/>
  <c r="D11" i="14"/>
  <c r="C4" i="48"/>
  <c r="M8" i="18"/>
  <c r="M17"/>
  <c r="M18"/>
  <c r="G22" i="14" l="1"/>
  <c r="F7" i="48"/>
  <c r="F24" s="1"/>
  <c r="F12" i="17"/>
  <c r="G48" i="14" s="1"/>
  <c r="O78"/>
  <c r="I69"/>
  <c r="E22"/>
  <c r="G31" i="20"/>
  <c r="H43" i="14" s="1"/>
  <c r="E101" i="18"/>
  <c r="E16" s="1"/>
  <c r="F78" i="14" s="1"/>
  <c r="F101" i="18"/>
  <c r="D13" i="14"/>
  <c r="D15" s="1"/>
  <c r="J12" i="17"/>
  <c r="K48" i="14" s="1"/>
  <c r="E100" i="18"/>
  <c r="E7" s="1"/>
  <c r="F67" i="14" s="1"/>
  <c r="F69" s="1"/>
  <c r="D100" i="18"/>
  <c r="H101"/>
  <c r="H19"/>
  <c r="G13" i="48"/>
  <c r="G30" s="1"/>
  <c r="H100" i="18"/>
  <c r="J7" s="1"/>
  <c r="C100"/>
  <c r="D101"/>
  <c r="H17" i="14"/>
  <c r="B100" i="18"/>
  <c r="C7" s="1"/>
  <c r="G100"/>
  <c r="G101"/>
  <c r="F81" i="14"/>
  <c r="D16" i="15"/>
  <c r="D20" s="1"/>
  <c r="E9" i="18"/>
  <c r="Q13" i="14"/>
  <c r="L5" i="17"/>
  <c r="L8" s="1"/>
  <c r="E19" i="18"/>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J23" i="14"/>
  <c r="L53"/>
  <c r="L23"/>
  <c r="J53"/>
  <c r="E10"/>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12" i="17"/>
  <c r="F48" i="14" s="1"/>
  <c r="C5" i="48"/>
  <c r="C14" s="1"/>
  <c r="C9" i="18" l="1"/>
  <c r="D67" i="14"/>
  <c r="E13"/>
  <c r="J16" i="18"/>
  <c r="Q15" i="14"/>
  <c r="Q23" s="1"/>
  <c r="Q55" s="1"/>
  <c r="Q13" i="48"/>
  <c r="I16" i="18"/>
  <c r="E7" i="48"/>
  <c r="E24" s="1"/>
  <c r="L7"/>
  <c r="L24" s="1"/>
  <c r="M22" i="14"/>
  <c r="R22" s="1"/>
  <c r="L12" i="17"/>
  <c r="M48" i="14" s="1"/>
  <c r="O22"/>
  <c r="N12" i="17"/>
  <c r="O48" i="14" s="1"/>
  <c r="N7" i="48"/>
  <c r="N24" s="1"/>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J20" i="15"/>
  <c r="K36" i="14" s="1"/>
  <c r="E15"/>
  <c r="E23"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K78"/>
  <c r="K81" s="1"/>
  <c r="J19" i="18"/>
  <c r="J78" i="14"/>
  <c r="I19" i="18"/>
  <c r="M16"/>
  <c r="M19" s="1"/>
  <c r="E5" i="48"/>
  <c r="E22" s="1"/>
  <c r="F10" i="14"/>
  <c r="Q7" i="48"/>
  <c r="L31"/>
  <c r="N19" i="14"/>
  <c r="R19" s="1"/>
  <c r="M9" i="48"/>
  <c r="P55" i="14"/>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C78" l="1"/>
  <c r="C81" s="1"/>
  <c r="J81"/>
  <c r="F13"/>
  <c r="F15" s="1"/>
  <c r="F23" s="1"/>
  <c r="F55" s="1"/>
  <c r="F22" i="16"/>
  <c r="G39" i="14" s="1"/>
  <c r="G41" s="1"/>
  <c r="F8" i="48"/>
  <c r="N25"/>
  <c r="N31" s="1"/>
  <c r="N14"/>
  <c r="E8"/>
  <c r="J22" i="16"/>
  <c r="K39" i="14" s="1"/>
  <c r="K41" s="1"/>
  <c r="K53" s="1"/>
  <c r="J31" i="48"/>
  <c r="J14"/>
  <c r="R20" i="14"/>
  <c r="N55"/>
  <c r="H55"/>
  <c r="G31" i="48"/>
  <c r="O53" i="14"/>
  <c r="G53"/>
  <c r="G55" s="1"/>
  <c r="O69" s="1"/>
  <c r="B9" i="6" s="1"/>
  <c r="B12" s="1"/>
  <c r="M53" i="14"/>
  <c r="M55" s="1"/>
  <c r="C12" i="13"/>
  <c r="D37" i="14" s="1"/>
  <c r="D41" s="1"/>
  <c r="C24" i="48"/>
  <c r="C28"/>
  <c r="C22"/>
  <c r="C25"/>
  <c r="C21"/>
  <c r="K55" i="14"/>
  <c r="R13"/>
  <c r="R15" s="1"/>
  <c r="F25" i="48"/>
  <c r="F31" s="1"/>
  <c r="F14"/>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<sst xmlns="http://schemas.openxmlformats.org/spreadsheetml/2006/main" count="2225" uniqueCount="938">
  <si>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</si>
  <si>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</si>
  <si>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</si>
  <si>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</si>
  <si>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</si>
  <si>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</si>
  <si>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</si>
  <si>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</si>
  <si>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</si>
  <si>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</si>
  <si>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</si>
  <si>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</si>
  <si>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</si>
  <si>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</si>
  <si>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</si>
  <si>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</si>
  <si>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</si>
  <si>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</si>
  <si>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</si>
  <si>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</si>
  <si>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</si>
  <si>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</si>
  <si>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</si>
  <si>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</si>
  <si>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</si>
  <si>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</si>
  <si>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</si>
  <si>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</si>
  <si>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</si>
  <si>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</si>
  <si>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</si>
  <si>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</si>
  <si>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</si>
  <si>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</si>
  <si>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</si>
  <si>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</si>
  <si>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</si>
  <si>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</si>
  <si>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</si>
  <si>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</si>
  <si>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</si>
  <si>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</si>
  <si>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</si>
  <si>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</si>
  <si>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</si>
  <si>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</si>
  <si>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</si>
  <si>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</si>
  <si>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</si>
  <si>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</si>
  <si>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</si>
  <si>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</si>
  <si>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</si>
  <si>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</si>
  <si>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</si>
  <si>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</si>
  <si>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</si>
  <si>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</si>
  <si>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</si>
  <si>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</si>
  <si>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</si>
  <si>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</si>
  <si>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</si>
  <si>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</si>
  <si>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</si>
  <si>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</si>
  <si>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</si>
  <si>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</si>
  <si>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</si>
  <si>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</si>
  <si>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</si>
  <si>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</si>
  <si>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</si>
  <si>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</si>
  <si>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</si>
  <si>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</si>
  <si>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</si>
  <si>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</si>
  <si>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</si>
  <si>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</si>
  <si>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</si>
  <si>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</si>
  <si>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</si>
  <si>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</si>
  <si>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</si>
  <si>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</si>
  <si>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</si>
  <si>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</si>
  <si>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</si>
  <si>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</si>
  <si>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</si>
  <si>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</si>
  <si>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</si>
  <si>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</si>
  <si>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</si>
  <si>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</si>
  <si>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</si>
  <si>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</si>
  <si>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</si>
  <si>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</si>
  <si>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</si>
  <si>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</si>
  <si>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</si>
  <si>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</si>
  <si>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</si>
  <si>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</si>
  <si>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</si>
  <si>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</si>
  <si>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</si>
  <si>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</si>
  <si>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</si>
  <si>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</si>
  <si>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</si>
  <si>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</si>
  <si>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</si>
  <si>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</si>
  <si>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</si>
  <si>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</si>
  <si>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</si>
  <si>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</si>
  <si>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</si>
  <si>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</si>
  <si>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</si>
  <si>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</si>
  <si>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</si>
  <si>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</si>
  <si>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</si>
  <si>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</si>
  <si>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</si>
  <si>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</si>
  <si>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</si>
  <si>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</si>
  <si>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</si>
  <si>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</si>
  <si>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</si>
  <si>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</si>
  <si>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</si>
  <si>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</si>
  <si>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</si>
  <si>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</si>
  <si>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</si>
  <si>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</si>
  <si>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</si>
  <si>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</si>
  <si>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</si>
  <si>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</si>
  <si>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</si>
  <si>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</si>
  <si>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</si>
  <si>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</si>
  <si>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</si>
  <si>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</si>
  <si>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</si>
  <si>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</si>
  <si>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</si>
  <si>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</si>
  <si>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</si>
  <si>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</si>
  <si>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</si>
  <si>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</si>
  <si>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</si>
  <si>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</si>
  <si>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</si>
  <si>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</si>
  <si>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</si>
  <si>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</si>
  <si>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</si>
  <si>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</si>
  <si>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</si>
  <si>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</si>
  <si>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</si>
  <si>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</si>
  <si>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</si>
  <si>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</si>
  <si>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</si>
  <si>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</si>
  <si>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</si>
  <si>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</si>
  <si>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</si>
  <si>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</si>
  <si>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</si>
  <si>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</si>
  <si>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</si>
  <si>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</si>
  <si>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</si>
  <si>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</si>
  <si>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</si>
  <si>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</si>
  <si>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</si>
  <si>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</si>
  <si>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</si>
  <si>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</si>
  <si>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</si>
  <si>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</si>
  <si>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</si>
  <si>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</si>
  <si>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</si>
  <si>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</si>
  <si>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</si>
  <si>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</si>
  <si>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</si>
  <si>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</si>
  <si>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</si>
  <si>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</si>
  <si>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</si>
  <si>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</si>
  <si>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</si>
  <si>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</si>
  <si>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</si>
  <si>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</si>
  <si>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</si>
  <si>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</si>
  <si>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</si>
  <si>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</si>
  <si>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</si>
  <si>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</si>
  <si>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</si>
  <si>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</si>
  <si>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</si>
  <si>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</si>
  <si>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</si>
  <si>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</si>
  <si>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</si>
  <si>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</si>
  <si>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</si>
  <si>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</si>
  <si>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</si>
  <si>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</si>
  <si>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</si>
  <si>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</si>
  <si>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</si>
  <si>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</si>
  <si>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</si>
  <si>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</si>
  <si>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</si>
  <si>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</si>
  <si>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</si>
  <si>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</si>
  <si>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</si>
  <si>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</si>
  <si>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</si>
  <si>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</si>
  <si>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</si>
  <si>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</si>
  <si>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</si>
  <si>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</si>
  <si>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</si>
  <si>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</si>
  <si>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</si>
  <si>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</si>
  <si>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</si>
  <si>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</si>
  <si>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</si>
  <si>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</si>
  <si>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</si>
  <si>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</si>
  <si>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</si>
  <si>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</si>
  <si>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</si>
  <si>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</si>
  <si>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</si>
  <si>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</si>
  <si>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</si>
  <si>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</si>
  <si>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</si>
  <si>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</si>
  <si>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</si>
  <si>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</si>
  <si>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</si>
  <si>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</si>
  <si>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</si>
  <si>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</si>
  <si>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</si>
  <si>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</si>
  <si>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</si>
  <si>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</si>
  <si>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</si>
  <si>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</si>
  <si>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</si>
  <si>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</si>
  <si>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</si>
  <si>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</si>
  <si>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</si>
  <si>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</si>
  <si>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</si>
  <si>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</si>
  <si>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</si>
  <si>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</si>
  <si>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</si>
  <si>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</si>
  <si>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</si>
  <si>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</si>
  <si>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</si>
  <si>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</si>
  <si>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</si>
  <si>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</si>
  <si>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</si>
  <si>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</si>
  <si>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</si>
  <si>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</si>
  <si>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</si>
  <si>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</si>
  <si>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</si>
  <si>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</si>
  <si>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</si>
  <si>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</si>
  <si>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</si>
  <si>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</si>
  <si>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</si>
  <si>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</si>
  <si>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</si>
  <si>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</si>
  <si>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</si>
  <si>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</si>
  <si>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</si>
  <si>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</si>
  <si>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</si>
  <si>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</si>
  <si>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</si>
  <si>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</si>
  <si>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</si>
  <si>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</si>
  <si>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</si>
  <si>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</si>
  <si>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</si>
  <si>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</si>
  <si>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</si>
  <si>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</si>
  <si>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</si>
  <si>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</si>
  <si>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</si>
  <si>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</si>
  <si>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</si>
  <si>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</si>
  <si>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</si>
  <si>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</si>
  <si>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</si>
  <si>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</si>
  <si>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</si>
  <si>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</si>
  <si>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</si>
  <si>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</si>
  <si>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</si>
  <si>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</si>
  <si>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</si>
  <si>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</si>
  <si>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</si>
  <si>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</si>
  <si>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</si>
  <si>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</si>
  <si>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</si>
  <si>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</si>
  <si>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</si>
  <si>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</si>
  <si>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</si>
  <si>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</si>
  <si>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</si>
  <si>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</si>
  <si>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</si>
  <si>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</si>
  <si>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</si>
  <si>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</si>
  <si>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</si>
  <si>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</si>
  <si>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</si>
  <si>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</si>
  <si>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</si>
  <si>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</si>
  <si>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</si>
  <si>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</si>
  <si>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</si>
  <si>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</si>
  <si>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</si>
  <si>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</si>
  <si>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</si>
  <si>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</si>
  <si>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</si>
  <si>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</si>
  <si>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</si>
  <si>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</si>
  <si>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</si>
  <si>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</si>
  <si>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</si>
  <si>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</si>
  <si>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</si>
  <si>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</si>
  <si>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</si>
  <si>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</si>
  <si>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</si>
  <si>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</si>
  <si>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</si>
  <si>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</si>
  <si>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</si>
  <si>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</si>
  <si>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</si>
  <si>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</si>
  <si>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</si>
  <si>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</si>
  <si>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</si>
  <si>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</si>
  <si>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</si>
  <si>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</si>
  <si>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</si>
  <si>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</si>
  <si>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</si>
  <si>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</si>
  <si>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</si>
  <si>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</si>
  <si>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</si>
  <si>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</si>
  <si>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</si>
  <si>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</si>
  <si>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</si>
  <si>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</si>
  <si>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</si>
  <si>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</si>
  <si>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</si>
  <si>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</si>
  <si>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</si>
  <si>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</si>
  <si>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</si>
  <si>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</si>
  <si>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</si>
  <si>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</si>
  <si>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</si>
  <si>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</si>
  <si>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</si>
  <si>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</si>
  <si>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</si>
  <si>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</si>
  <si>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</si>
  <si>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</si>
  <si>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</si>
  <si>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</si>
  <si>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</si>
  <si>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</si>
  <si>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</si>
  <si>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</si>
  <si>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</si>
  <si>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</si>
  <si>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</si>
  <si>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</si>
  <si>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</si>
  <si>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</si>
  <si>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</si>
  <si>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</si>
  <si>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</si>
  <si>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</si>
  <si>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</si>
  <si>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</si>
  <si>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</si>
  <si>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</si>
  <si>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</si>
  <si>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</si>
  <si>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</si>
  <si>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</si>
  <si>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</si>
  <si>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</si>
  <si>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</si>
  <si>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</si>
  <si>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</si>
  <si>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</si>
  <si>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</si>
  <si>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</si>
  <si>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</si>
  <si>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</si>
  <si>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</si>
  <si>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</si>
  <si>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</si>
  <si>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</si>
  <si>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</si>
  <si>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</si>
  <si>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</si>
  <si>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</si>
  <si>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</si>
  <si>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</si>
  <si>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</si>
  <si>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</si>
  <si>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</si>
  <si>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</si>
  <si>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</si>
  <si>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</si>
  <si>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</si>
  <si>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</si>
  <si>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</si>
  <si>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</si>
  <si>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</si>
  <si>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</si>
  <si>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</si>
  <si>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</si>
  <si>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</si>
  <si>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</si>
  <si>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</si>
  <si>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</si>
  <si>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</si>
  <si>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</si>
  <si>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</si>
  <si>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</si>
  <si>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</si>
  <si>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</si>
  <si>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</si>
  <si>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</si>
  <si>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</si>
  <si>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</si>
  <si>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</si>
  <si>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</si>
  <si>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</si>
  <si>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</si>
  <si>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</si>
  <si>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</si>
  <si>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</si>
  <si>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</si>
  <si>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</si>
  <si>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</si>
  <si>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</si>
  <si>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</si>
  <si>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</si>
  <si>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</si>
  <si>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</si>
  <si>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</si>
  <si>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</si>
  <si>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</si>
  <si>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</si>
  <si>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</si>
  <si>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</si>
  <si>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</si>
  <si>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</si>
  <si>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</si>
  <si>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</si>
  <si>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</si>
  <si>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</si>
  <si>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</si>
  <si>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</si>
  <si>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</si>
  <si>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</si>
  <si>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</si>
  <si>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</si>
  <si>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</si>
  <si>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</si>
  <si>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</si>
  <si>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</si>
  <si>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</si>
  <si>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</si>
  <si>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</si>
  <si>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</si>
  <si>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</si>
  <si>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</si>
  <si>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</si>
  <si>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</si>
  <si>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</si>
  <si>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</si>
  <si>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</si>
  <si>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</si>
  <si>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</si>
  <si>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</si>
  <si>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</si>
  <si>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</si>
  <si>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</si>
  <si>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</si>
  <si>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</si>
  <si>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</si>
  <si>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</si>
  <si>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</si>
  <si>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</si>
  <si>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</si>
  <si>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</si>
  <si>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</si>
  <si>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</si>
  <si>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</si>
  <si>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</si>
  <si>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</si>
  <si>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</si>
  <si>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</si>
  <si>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</si>
  <si>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</si>
  <si>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</si>
  <si>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</si>
  <si>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</si>
  <si>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</si>
  <si>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</si>
  <si>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</si>
  <si>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</si>
  <si>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</si>
  <si>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</si>
  <si>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</si>
  <si>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</si>
  <si>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</si>
  <si>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</si>
  <si>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</si>
  <si>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</si>
  <si>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</si>
  <si>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</si>
  <si>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</si>
  <si>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</si>
  <si>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</si>
  <si>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</si>
  <si>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</si>
  <si>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</si>
  <si>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</si>
  <si>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</si>
  <si>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</si>
  <si>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</si>
  <si>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</si>
  <si>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</si>
  <si>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</si>
  <si>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</si>
  <si>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</si>
  <si>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</si>
  <si>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</si>
  <si>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</si>
  <si>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</si>
  <si>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</si>
  <si>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</si>
  <si>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</si>
  <si>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</si>
  <si>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</si>
  <si>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</si>
  <si>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</si>
  <si>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</si>
  <si>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</si>
  <si>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</si>
  <si>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</si>
  <si>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</si>
  <si>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</si>
  <si>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</si>
  <si>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</si>
  <si>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</si>
  <si>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</si>
  <si>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</si>
  <si>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</si>
  <si>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</si>
  <si>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</si>
  <si>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</si>
  <si>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</si>
  <si>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</si>
  <si>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</si>
  <si>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</si>
  <si>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</si>
  <si>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</si>
  <si>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</si>
  <si>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</si>
  <si>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</si>
  <si>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</si>
  <si>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</si>
  <si>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</si>
  <si>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</si>
  <si>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</si>
  <si>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</si>
  <si>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</si>
  <si>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</si>
  <si>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</si>
  <si>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</si>
  <si>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</si>
  <si>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</si>
  <si>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</si>
  <si>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</si>
  <si>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</si>
  <si>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</si>
  <si>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</si>
  <si>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</si>
  <si>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</si>
  <si>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</si>
  <si>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</si>
  <si>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</si>
  <si>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</si>
  <si>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</si>
  <si>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</si>
  <si>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</si>
  <si>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</si>
  <si>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</si>
  <si>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</si>
  <si>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</si>
  <si>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</si>
  <si>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</si>
  <si>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</si>
  <si>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</si>
  <si>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</si>
  <si>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</si>
  <si>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</si>
  <si>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</si>
  <si>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</si>
  <si>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</si>
  <si>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</si>
  <si>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</si>
  <si>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</si>
  <si>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</si>
  <si>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</si>
  <si>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</si>
  <si>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</si>
  <si>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</si>
  <si>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</si>
  <si>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</si>
  <si>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</si>
  <si>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</si>
  <si>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</si>
  <si>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</si>
  <si>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</si>
  <si>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</si>
  <si>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</si>
  <si>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</si>
  <si>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</si>
  <si>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</si>
  <si>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</si>
  <si>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</si>
  <si>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</si>
  <si>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</si>
  <si>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</si>
  <si>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</si>
  <si>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</si>
  <si>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</si>
  <si>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</si>
  <si>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</si>
  <si>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</si>
  <si>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</si>
  <si>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</si>
  <si>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</si>
  <si>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</si>
  <si>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</si>
  <si>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</si>
  <si>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</si>
  <si>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</si>
  <si>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</si>
  <si>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</si>
  <si>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</si>
  <si>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</si>
  <si>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</si>
  <si>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</si>
  <si>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</si>
  <si>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</si>
  <si>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</si>
  <si>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</si>
  <si>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</si>
  <si>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</si>
  <si>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</si>
  <si>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</si>
  <si>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</si>
  <si>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</si>
  <si>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</si>
  <si>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</si>
  <si>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</si>
  <si>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</si>
  <si>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</si>
  <si>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</si>
  <si>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</si>
  <si>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</si>
  <si>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</si>
  <si>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</si>
  <si>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</si>
  <si>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</si>
  <si>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</si>
  <si>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</si>
  <si>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</si>
  <si>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</si>
  <si>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</si>
  <si>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</si>
  <si>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</si>
  <si>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</si>
  <si>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</si>
  <si>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</si>
  <si>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</si>
  <si>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</si>
  <si>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</si>
  <si>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</si>
  <si>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</si>
  <si>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</si>
  <si>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</si>
  <si>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</si>
  <si>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</si>
  <si>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</si>
  <si>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</si>
  <si>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</si>
  <si>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</si>
  <si>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</si>
  <si>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</si>
  <si>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</si>
  <si>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</si>
  <si>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</si>
  <si>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</si>
  <si>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</si>
  <si>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</si>
  <si>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</si>
  <si>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</si>
  <si>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</si>
  <si>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</si>
  <si>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</si>
  <si>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</si>
  <si>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</si>
  <si>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</si>
  <si>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</si>
  <si>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</si>
  <si>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</si>
  <si>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</si>
  <si>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</si>
  <si>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</si>
  <si>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</si>
  <si>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</si>
  <si>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</si>
  <si>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</si>
  <si>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</si>
  <si>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</si>
  <si>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</si>
  <si>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</si>
  <si>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</si>
  <si>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</si>
  <si>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</si>
  <si>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</si>
  <si>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</si>
  <si>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</si>
  <si>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</si>
  <si>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</si>
  <si>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</si>
  <si>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</si>
  <si>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</si>
  <si>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</si>
  <si>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</si>
  <si>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</si>
  <si>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</si>
  <si>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</si>
  <si>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</si>
  <si>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</si>
  <si>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</si>
  <si>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</si>
  <si>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</si>
  <si>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</si>
  <si>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</si>
  <si>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</si>
  <si>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</si>
  <si>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</si>
  <si>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</si>
  <si>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</si>
  <si>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</si>
  <si>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</si>
  <si>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</si>
  <si>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</si>
  <si>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</si>
  <si>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</si>
  <si>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</si>
  <si>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</si>
  <si>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</si>
  <si>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</si>
  <si>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</si>
  <si>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</si>
  <si>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</si>
  <si>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</si>
  <si>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</si>
  <si>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</si>
  <si>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</si>
  <si>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</si>
  <si>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</si>
  <si>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</si>
  <si>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</si>
  <si>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</si>
  <si>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</si>
  <si>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</si>
  <si>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</si>
  <si>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</si>
  <si>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</si>
  <si>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</si>
  <si>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</si>
  <si>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</si>
  <si>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</si>
  <si>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</si>
  <si>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</si>
  <si>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</si>
  <si>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</si>
  <si>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</si>
  <si>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</si>
  <si>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</si>
  <si>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</si>
  <si>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</si>
  <si>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</si>
  <si>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</si>
  <si>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</si>
  <si>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</si>
  <si>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</si>
  <si>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</si>
  <si>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</si>
  <si>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</si>
  <si>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</si>
  <si>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</si>
  <si>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</si>
  <si>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</si>
  <si>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</si>
  <si>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</si>
  <si>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</si>
  <si>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</si>
  <si>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</si>
  <si>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</si>
  <si>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</si>
  <si>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</si>
  <si>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</si>
  <si>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</si>
  <si>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</si>
  <si>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</si>
  <si>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</si>
  <si>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</si>
  <si>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</si>
  <si>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</si>
  <si>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</si>
  <si>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</si>
  <si>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</si>
  <si>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</si>
  <si>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</si>
  <si>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</si>
  <si>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</si>
  <si>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</si>
  <si>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</si>
  <si>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</si>
  <si>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</si>
  <si>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</si>
  <si>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</si>
  <si>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</si>
  <si>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</si>
  <si>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</si>
  <si>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</si>
  <si>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</si>
  <si>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</si>
  <si>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</si>
  <si>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</si>
  <si>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</si>
  <si>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</si>
  <si>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</si>
  <si>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36012</t>
  </si>
  <si>
    <t>MOORSLEDE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</si>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</sst>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36012</v>
      </c>
      <c r="B6" s="396"/>
      <c r="C6" s="397"/>
    </row>
    <row r="7" spans="1:7" s="394" customFormat="1" ht="15.75" customHeight="1">
      <c r="A7" s="398" t="str">
        <f>txtMunicipality</f>
        <v>MOORSLEDE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20487.111396056185</v>
      </c>
      <c r="D10" s="702">
        <f ca="1">tertiair!C16</f>
        <v>6368.5714285714284</v>
      </c>
      <c r="E10" s="702">
        <f ca="1">tertiair!D16</f>
        <v>11788.679682476115</v>
      </c>
      <c r="F10" s="702">
        <f>tertiair!E16</f>
        <v>271.67270049510466</v>
      </c>
      <c r="G10" s="702">
        <f ca="1">tertiair!F16</f>
        <v>2928.302770354504</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38.133333333333333</v>
      </c>
      <c r="R10" s="705">
        <f ca="1">SUM(C10:Q10)</f>
        <v>41884.034644619991</v>
      </c>
      <c r="S10" s="67"/>
    </row>
    <row r="11" spans="1:19" s="457" customFormat="1">
      <c r="A11" s="858" t="s">
        <v>226</v>
      </c>
      <c r="B11" s="863"/>
      <c r="C11" s="702">
        <f>huishoudens!B8</f>
        <v>18142.603861999294</v>
      </c>
      <c r="D11" s="702">
        <f>huishoudens!C8</f>
        <v>0</v>
      </c>
      <c r="E11" s="702">
        <f>huishoudens!D8</f>
        <v>38201.371877879137</v>
      </c>
      <c r="F11" s="702">
        <f>huishoudens!E8</f>
        <v>5501.5082409638208</v>
      </c>
      <c r="G11" s="702">
        <f>huishoudens!F8</f>
        <v>14561.424802602056</v>
      </c>
      <c r="H11" s="702">
        <f>huishoudens!G8</f>
        <v>0</v>
      </c>
      <c r="I11" s="702">
        <f>huishoudens!H8</f>
        <v>0</v>
      </c>
      <c r="J11" s="702">
        <f>huishoudens!I8</f>
        <v>0</v>
      </c>
      <c r="K11" s="702">
        <f>huishoudens!J8</f>
        <v>1904.7536109405094</v>
      </c>
      <c r="L11" s="702">
        <f>huishoudens!K8</f>
        <v>0</v>
      </c>
      <c r="M11" s="702">
        <f>huishoudens!L8</f>
        <v>0</v>
      </c>
      <c r="N11" s="702">
        <f>huishoudens!M8</f>
        <v>0</v>
      </c>
      <c r="O11" s="702">
        <f>huishoudens!N8</f>
        <v>13551.597637788096</v>
      </c>
      <c r="P11" s="702">
        <f>huishoudens!O8</f>
        <v>60.970000000000006</v>
      </c>
      <c r="Q11" s="703">
        <f>huishoudens!P8</f>
        <v>95.333333333333343</v>
      </c>
      <c r="R11" s="705">
        <f>SUM(C11:Q11)</f>
        <v>92019.563365506241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16503.707096756931</v>
      </c>
      <c r="D13" s="702">
        <f>industrie!C18</f>
        <v>0</v>
      </c>
      <c r="E13" s="702">
        <f>industrie!D18</f>
        <v>12229.541555421136</v>
      </c>
      <c r="F13" s="702">
        <f>industrie!E18</f>
        <v>163.43230845713089</v>
      </c>
      <c r="G13" s="702">
        <f>industrie!F18</f>
        <v>4496.515443160235</v>
      </c>
      <c r="H13" s="702">
        <f>industrie!G18</f>
        <v>0</v>
      </c>
      <c r="I13" s="702">
        <f>industrie!H18</f>
        <v>0</v>
      </c>
      <c r="J13" s="702">
        <f>industrie!I18</f>
        <v>0</v>
      </c>
      <c r="K13" s="702">
        <f>industrie!J18</f>
        <v>110.523087632345</v>
      </c>
      <c r="L13" s="702">
        <f>industrie!K18</f>
        <v>0</v>
      </c>
      <c r="M13" s="702">
        <f>industrie!L18</f>
        <v>0</v>
      </c>
      <c r="N13" s="702">
        <f>industrie!M18</f>
        <v>0</v>
      </c>
      <c r="O13" s="702">
        <f>industrie!N18</f>
        <v>406.31358116991089</v>
      </c>
      <c r="P13" s="702">
        <f>industrie!O18</f>
        <v>0</v>
      </c>
      <c r="Q13" s="703">
        <f>industrie!P18</f>
        <v>0</v>
      </c>
      <c r="R13" s="705">
        <f>SUM(C13:Q13)</f>
        <v>33910.033072597689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55133.422354812414</v>
      </c>
      <c r="D15" s="707">
        <f t="shared" ref="D15:Q15" ca="1" si="0">SUM(D9:D14)</f>
        <v>6368.5714285714284</v>
      </c>
      <c r="E15" s="707">
        <f t="shared" ca="1" si="0"/>
        <v>62219.593115776384</v>
      </c>
      <c r="F15" s="707">
        <f t="shared" si="0"/>
        <v>5936.6132499160558</v>
      </c>
      <c r="G15" s="707">
        <f t="shared" ca="1" si="0"/>
        <v>21986.243016116794</v>
      </c>
      <c r="H15" s="707">
        <f t="shared" si="0"/>
        <v>0</v>
      </c>
      <c r="I15" s="707">
        <f t="shared" si="0"/>
        <v>0</v>
      </c>
      <c r="J15" s="707">
        <f t="shared" si="0"/>
        <v>0</v>
      </c>
      <c r="K15" s="707">
        <f t="shared" si="0"/>
        <v>2015.2766985728545</v>
      </c>
      <c r="L15" s="707">
        <f t="shared" si="0"/>
        <v>0</v>
      </c>
      <c r="M15" s="707">
        <f t="shared" ca="1" si="0"/>
        <v>0</v>
      </c>
      <c r="N15" s="707">
        <f t="shared" si="0"/>
        <v>0</v>
      </c>
      <c r="O15" s="707">
        <f t="shared" ca="1" si="0"/>
        <v>13957.911218958006</v>
      </c>
      <c r="P15" s="707">
        <f t="shared" si="0"/>
        <v>62.533333333333339</v>
      </c>
      <c r="Q15" s="708">
        <f t="shared" si="0"/>
        <v>133.46666666666667</v>
      </c>
      <c r="R15" s="709">
        <f ca="1">SUM(R9:R14)</f>
        <v>167813.63108272394</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1366.2587832463366</v>
      </c>
      <c r="I18" s="702">
        <f>transport!H54</f>
        <v>0</v>
      </c>
      <c r="J18" s="702">
        <f>transport!I54</f>
        <v>0</v>
      </c>
      <c r="K18" s="702">
        <f>transport!J54</f>
        <v>0</v>
      </c>
      <c r="L18" s="702">
        <f>transport!K54</f>
        <v>0</v>
      </c>
      <c r="M18" s="702">
        <f>transport!L54</f>
        <v>0</v>
      </c>
      <c r="N18" s="702">
        <f>transport!M54</f>
        <v>58.237676250523343</v>
      </c>
      <c r="O18" s="702">
        <f>transport!N54</f>
        <v>0</v>
      </c>
      <c r="P18" s="702">
        <f>transport!O54</f>
        <v>0</v>
      </c>
      <c r="Q18" s="703">
        <f>transport!P54</f>
        <v>0</v>
      </c>
      <c r="R18" s="705">
        <f>SUM(C18:Q18)</f>
        <v>1424.4964594968599</v>
      </c>
      <c r="S18" s="67"/>
    </row>
    <row r="19" spans="1:19" s="457" customFormat="1" ht="15" thickBot="1">
      <c r="A19" s="858" t="s">
        <v>308</v>
      </c>
      <c r="B19" s="863"/>
      <c r="C19" s="711">
        <f>transport!B14</f>
        <v>0.2905292176041675</v>
      </c>
      <c r="D19" s="711">
        <f>transport!C14</f>
        <v>0</v>
      </c>
      <c r="E19" s="711">
        <f>transport!D14</f>
        <v>2.0341720866201376</v>
      </c>
      <c r="F19" s="711">
        <f>transport!E14</f>
        <v>195.66892647051506</v>
      </c>
      <c r="G19" s="711">
        <f>transport!F14</f>
        <v>0</v>
      </c>
      <c r="H19" s="711">
        <f>transport!G14</f>
        <v>30493.081319539837</v>
      </c>
      <c r="I19" s="711">
        <f>transport!H14</f>
        <v>6585.7924584880875</v>
      </c>
      <c r="J19" s="711">
        <f>transport!I14</f>
        <v>0</v>
      </c>
      <c r="K19" s="711">
        <f>transport!J14</f>
        <v>0</v>
      </c>
      <c r="L19" s="711">
        <f>transport!K14</f>
        <v>0</v>
      </c>
      <c r="M19" s="711">
        <f>transport!L14</f>
        <v>0</v>
      </c>
      <c r="N19" s="711">
        <f>transport!M14</f>
        <v>1621.4538332255599</v>
      </c>
      <c r="O19" s="711">
        <f>transport!N14</f>
        <v>0</v>
      </c>
      <c r="P19" s="711">
        <f>transport!O14</f>
        <v>0</v>
      </c>
      <c r="Q19" s="712">
        <f>transport!P14</f>
        <v>0</v>
      </c>
      <c r="R19" s="713">
        <f>SUM(C19:Q19)</f>
        <v>38898.321239028228</v>
      </c>
      <c r="S19" s="67"/>
    </row>
    <row r="20" spans="1:19" s="457" customFormat="1" ht="15.75" thickBot="1">
      <c r="A20" s="714" t="s">
        <v>231</v>
      </c>
      <c r="B20" s="866"/>
      <c r="C20" s="861">
        <f>SUM(C17:C19)</f>
        <v>0.2905292176041675</v>
      </c>
      <c r="D20" s="715">
        <f t="shared" ref="D20:R20" si="1">SUM(D17:D19)</f>
        <v>0</v>
      </c>
      <c r="E20" s="715">
        <f t="shared" si="1"/>
        <v>2.0341720866201376</v>
      </c>
      <c r="F20" s="715">
        <f t="shared" si="1"/>
        <v>195.66892647051506</v>
      </c>
      <c r="G20" s="715">
        <f t="shared" si="1"/>
        <v>0</v>
      </c>
      <c r="H20" s="715">
        <f t="shared" si="1"/>
        <v>31859.340102786173</v>
      </c>
      <c r="I20" s="715">
        <f t="shared" si="1"/>
        <v>6585.7924584880875</v>
      </c>
      <c r="J20" s="715">
        <f t="shared" si="1"/>
        <v>0</v>
      </c>
      <c r="K20" s="715">
        <f t="shared" si="1"/>
        <v>0</v>
      </c>
      <c r="L20" s="715">
        <f t="shared" si="1"/>
        <v>0</v>
      </c>
      <c r="M20" s="715">
        <f t="shared" si="1"/>
        <v>0</v>
      </c>
      <c r="N20" s="715">
        <f t="shared" si="1"/>
        <v>1679.6915094760832</v>
      </c>
      <c r="O20" s="715">
        <f t="shared" si="1"/>
        <v>0</v>
      </c>
      <c r="P20" s="715">
        <f t="shared" si="1"/>
        <v>0</v>
      </c>
      <c r="Q20" s="716">
        <f t="shared" si="1"/>
        <v>0</v>
      </c>
      <c r="R20" s="717">
        <f t="shared" si="1"/>
        <v>40322.81769852509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2940.9512585308739</v>
      </c>
      <c r="D22" s="711">
        <f>+landbouw!C8</f>
        <v>0</v>
      </c>
      <c r="E22" s="711">
        <f>+landbouw!D8</f>
        <v>2776.8747665970682</v>
      </c>
      <c r="F22" s="711">
        <f>+landbouw!E8</f>
        <v>30.798278269318722</v>
      </c>
      <c r="G22" s="711">
        <f>+landbouw!F8</f>
        <v>15105.193934624473</v>
      </c>
      <c r="H22" s="711">
        <f>+landbouw!G8</f>
        <v>0</v>
      </c>
      <c r="I22" s="711">
        <f>+landbouw!H8</f>
        <v>0</v>
      </c>
      <c r="J22" s="711">
        <f>+landbouw!I8</f>
        <v>0</v>
      </c>
      <c r="K22" s="711">
        <f>+landbouw!J8</f>
        <v>262.65330758263326</v>
      </c>
      <c r="L22" s="711">
        <f>+landbouw!K8</f>
        <v>0</v>
      </c>
      <c r="M22" s="711">
        <f>+landbouw!L8</f>
        <v>0</v>
      </c>
      <c r="N22" s="711">
        <f>+landbouw!M8</f>
        <v>0</v>
      </c>
      <c r="O22" s="711">
        <f>+landbouw!N8</f>
        <v>0</v>
      </c>
      <c r="P22" s="711">
        <f>+landbouw!O8</f>
        <v>0</v>
      </c>
      <c r="Q22" s="712">
        <f>+landbouw!P8</f>
        <v>0</v>
      </c>
      <c r="R22" s="713">
        <f>SUM(C22:Q22)</f>
        <v>21116.471545604367</v>
      </c>
      <c r="S22" s="67"/>
    </row>
    <row r="23" spans="1:19" s="457" customFormat="1" ht="17.25" thickTop="1" thickBot="1">
      <c r="A23" s="718" t="s">
        <v>116</v>
      </c>
      <c r="B23" s="852"/>
      <c r="C23" s="719">
        <f ca="1">C20+C15+C22</f>
        <v>58074.664142560898</v>
      </c>
      <c r="D23" s="719">
        <f t="shared" ref="D23:Q23" ca="1" si="2">D20+D15+D22</f>
        <v>6368.5714285714284</v>
      </c>
      <c r="E23" s="719">
        <f t="shared" ca="1" si="2"/>
        <v>64998.50205446007</v>
      </c>
      <c r="F23" s="719">
        <f t="shared" si="2"/>
        <v>6163.0804546558893</v>
      </c>
      <c r="G23" s="719">
        <f t="shared" ca="1" si="2"/>
        <v>37091.436950741263</v>
      </c>
      <c r="H23" s="719">
        <f t="shared" si="2"/>
        <v>31859.340102786173</v>
      </c>
      <c r="I23" s="719">
        <f t="shared" si="2"/>
        <v>6585.7924584880875</v>
      </c>
      <c r="J23" s="719">
        <f t="shared" si="2"/>
        <v>0</v>
      </c>
      <c r="K23" s="719">
        <f t="shared" si="2"/>
        <v>2277.9300061554877</v>
      </c>
      <c r="L23" s="719">
        <f t="shared" si="2"/>
        <v>0</v>
      </c>
      <c r="M23" s="719">
        <f t="shared" ca="1" si="2"/>
        <v>0</v>
      </c>
      <c r="N23" s="719">
        <f t="shared" si="2"/>
        <v>1679.6915094760832</v>
      </c>
      <c r="O23" s="719">
        <f t="shared" ca="1" si="2"/>
        <v>13957.911218958006</v>
      </c>
      <c r="P23" s="719">
        <f t="shared" si="2"/>
        <v>62.533333333333339</v>
      </c>
      <c r="Q23" s="720">
        <f t="shared" si="2"/>
        <v>133.46666666666667</v>
      </c>
      <c r="R23" s="721">
        <f ca="1">R20+R15+R22</f>
        <v>229252.9203268534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4029.8283327053682</v>
      </c>
      <c r="D36" s="702">
        <f ca="1">tertiair!C20</f>
        <v>0</v>
      </c>
      <c r="E36" s="702">
        <f ca="1">tertiair!D20</f>
        <v>2381.3132958601755</v>
      </c>
      <c r="F36" s="702">
        <f>tertiair!E20</f>
        <v>61.669703012388759</v>
      </c>
      <c r="G36" s="702">
        <f ca="1">tertiair!F20</f>
        <v>781.85683968465264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7254.668171262585</v>
      </c>
    </row>
    <row r="37" spans="1:18">
      <c r="A37" s="873" t="s">
        <v>226</v>
      </c>
      <c r="B37" s="880"/>
      <c r="C37" s="702">
        <f ca="1">huishoudens!B12</f>
        <v>3568.6621534263113</v>
      </c>
      <c r="D37" s="702">
        <f ca="1">huishoudens!C12</f>
        <v>0</v>
      </c>
      <c r="E37" s="702">
        <f>huishoudens!D12</f>
        <v>7716.6771193315863</v>
      </c>
      <c r="F37" s="702">
        <f>huishoudens!E12</f>
        <v>1248.8423706987874</v>
      </c>
      <c r="G37" s="702">
        <f>huishoudens!F12</f>
        <v>3887.9004222947492</v>
      </c>
      <c r="H37" s="702">
        <f>huishoudens!G12</f>
        <v>0</v>
      </c>
      <c r="I37" s="702">
        <f>huishoudens!H12</f>
        <v>0</v>
      </c>
      <c r="J37" s="702">
        <f>huishoudens!I12</f>
        <v>0</v>
      </c>
      <c r="K37" s="702">
        <f>huishoudens!J12</f>
        <v>674.28277827294028</v>
      </c>
      <c r="L37" s="702">
        <f>huishoudens!K12</f>
        <v>0</v>
      </c>
      <c r="M37" s="702">
        <f>huishoudens!L12</f>
        <v>0</v>
      </c>
      <c r="N37" s="702">
        <f>huishoudens!M12</f>
        <v>0</v>
      </c>
      <c r="O37" s="702">
        <f>huishoudens!N12</f>
        <v>0</v>
      </c>
      <c r="P37" s="702">
        <f>huishoudens!O12</f>
        <v>0</v>
      </c>
      <c r="Q37" s="812">
        <f>huishoudens!P12</f>
        <v>0</v>
      </c>
      <c r="R37" s="905">
        <f ca="1">SUM(C37:Q37)</f>
        <v>17096.364844024374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3246.2900780626646</v>
      </c>
      <c r="D39" s="702">
        <f ca="1">industrie!C22</f>
        <v>0</v>
      </c>
      <c r="E39" s="702">
        <f>industrie!D22</f>
        <v>2470.3673941950697</v>
      </c>
      <c r="F39" s="702">
        <f>industrie!E22</f>
        <v>37.099134019768712</v>
      </c>
      <c r="G39" s="702">
        <f>industrie!F22</f>
        <v>1200.5696233237827</v>
      </c>
      <c r="H39" s="702">
        <f>industrie!G22</f>
        <v>0</v>
      </c>
      <c r="I39" s="702">
        <f>industrie!H22</f>
        <v>0</v>
      </c>
      <c r="J39" s="702">
        <f>industrie!I22</f>
        <v>0</v>
      </c>
      <c r="K39" s="702">
        <f>industrie!J22</f>
        <v>39.125173021850124</v>
      </c>
      <c r="L39" s="702">
        <f>industrie!K22</f>
        <v>0</v>
      </c>
      <c r="M39" s="702">
        <f>industrie!L22</f>
        <v>0</v>
      </c>
      <c r="N39" s="702">
        <f>industrie!M22</f>
        <v>0</v>
      </c>
      <c r="O39" s="702">
        <f>industrie!N22</f>
        <v>0</v>
      </c>
      <c r="P39" s="702">
        <f>industrie!O22</f>
        <v>0</v>
      </c>
      <c r="Q39" s="812">
        <f>industrie!P22</f>
        <v>0</v>
      </c>
      <c r="R39" s="906">
        <f ca="1">SUM(C39:Q39)</f>
        <v>6993.4514026231354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10844.780564194343</v>
      </c>
      <c r="D41" s="747">
        <f t="shared" ref="D41:R41" ca="1" si="4">SUM(D35:D40)</f>
        <v>0</v>
      </c>
      <c r="E41" s="747">
        <f t="shared" ca="1" si="4"/>
        <v>12568.357809386831</v>
      </c>
      <c r="F41" s="747">
        <f t="shared" si="4"/>
        <v>1347.6112077309449</v>
      </c>
      <c r="G41" s="747">
        <f t="shared" ca="1" si="4"/>
        <v>5870.3268853031841</v>
      </c>
      <c r="H41" s="747">
        <f t="shared" si="4"/>
        <v>0</v>
      </c>
      <c r="I41" s="747">
        <f t="shared" si="4"/>
        <v>0</v>
      </c>
      <c r="J41" s="747">
        <f t="shared" si="4"/>
        <v>0</v>
      </c>
      <c r="K41" s="747">
        <f t="shared" si="4"/>
        <v>713.40795129479045</v>
      </c>
      <c r="L41" s="747">
        <f t="shared" si="4"/>
        <v>0</v>
      </c>
      <c r="M41" s="747">
        <f t="shared" ca="1" si="4"/>
        <v>0</v>
      </c>
      <c r="N41" s="747">
        <f t="shared" si="4"/>
        <v>0</v>
      </c>
      <c r="O41" s="747">
        <f t="shared" ca="1" si="4"/>
        <v>0</v>
      </c>
      <c r="P41" s="747">
        <f t="shared" si="4"/>
        <v>0</v>
      </c>
      <c r="Q41" s="748">
        <f t="shared" si="4"/>
        <v>0</v>
      </c>
      <c r="R41" s="749">
        <f t="shared" ca="1" si="4"/>
        <v>31344.484417910091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364.79109512677189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364.79109512677189</v>
      </c>
    </row>
    <row r="45" spans="1:18" ht="15" thickBot="1">
      <c r="A45" s="876" t="s">
        <v>308</v>
      </c>
      <c r="B45" s="886"/>
      <c r="C45" s="711">
        <f ca="1">transport!B18</f>
        <v>5.7147288846458644E-2</v>
      </c>
      <c r="D45" s="711">
        <f>transport!C18</f>
        <v>0</v>
      </c>
      <c r="E45" s="711">
        <f>transport!D18</f>
        <v>0.41090276149726784</v>
      </c>
      <c r="F45" s="711">
        <f>transport!E18</f>
        <v>44.416846308806917</v>
      </c>
      <c r="G45" s="711">
        <f>transport!F18</f>
        <v>0</v>
      </c>
      <c r="H45" s="711">
        <f>transport!G18</f>
        <v>8141.6527123171372</v>
      </c>
      <c r="I45" s="711">
        <f>transport!H18</f>
        <v>1639.8623221635337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9826.3999308398215</v>
      </c>
    </row>
    <row r="46" spans="1:18" ht="15.75" thickBot="1">
      <c r="A46" s="874" t="s">
        <v>231</v>
      </c>
      <c r="B46" s="887"/>
      <c r="C46" s="747">
        <f t="shared" ref="C46:R46" ca="1" si="5">SUM(C43:C45)</f>
        <v>5.7147288846458644E-2</v>
      </c>
      <c r="D46" s="747">
        <f t="shared" ca="1" si="5"/>
        <v>0</v>
      </c>
      <c r="E46" s="747">
        <f t="shared" si="5"/>
        <v>0.41090276149726784</v>
      </c>
      <c r="F46" s="747">
        <f t="shared" si="5"/>
        <v>44.416846308806917</v>
      </c>
      <c r="G46" s="747">
        <f t="shared" si="5"/>
        <v>0</v>
      </c>
      <c r="H46" s="747">
        <f t="shared" si="5"/>
        <v>8506.4438074439095</v>
      </c>
      <c r="I46" s="747">
        <f t="shared" si="5"/>
        <v>1639.8623221635337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10191.191025966593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578.48705352452328</v>
      </c>
      <c r="D48" s="702">
        <f ca="1">+landbouw!C12</f>
        <v>0</v>
      </c>
      <c r="E48" s="702">
        <f>+landbouw!D12</f>
        <v>560.92870285260778</v>
      </c>
      <c r="F48" s="702">
        <f>+landbouw!E12</f>
        <v>6.9912091671353505</v>
      </c>
      <c r="G48" s="702">
        <f>+landbouw!F12</f>
        <v>4033.0867805447342</v>
      </c>
      <c r="H48" s="702">
        <f>+landbouw!G12</f>
        <v>0</v>
      </c>
      <c r="I48" s="702">
        <f>+landbouw!H12</f>
        <v>0</v>
      </c>
      <c r="J48" s="702">
        <f>+landbouw!I12</f>
        <v>0</v>
      </c>
      <c r="K48" s="702">
        <f>+landbouw!J12</f>
        <v>92.979270884252173</v>
      </c>
      <c r="L48" s="702">
        <f>+landbouw!K12</f>
        <v>0</v>
      </c>
      <c r="M48" s="702">
        <f>+landbouw!L12</f>
        <v>0</v>
      </c>
      <c r="N48" s="702">
        <f>+landbouw!M12</f>
        <v>0</v>
      </c>
      <c r="O48" s="702">
        <f>+landbouw!N12</f>
        <v>0</v>
      </c>
      <c r="P48" s="702">
        <f>+landbouw!O12</f>
        <v>0</v>
      </c>
      <c r="Q48" s="703">
        <f>+landbouw!P12</f>
        <v>0</v>
      </c>
      <c r="R48" s="745">
        <f ca="1">SUM(C48:Q48)</f>
        <v>5272.4730169732529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11423.324765007712</v>
      </c>
      <c r="D53" s="757">
        <f t="shared" ref="D53:Q53" ca="1" si="6">D41+D46+D48</f>
        <v>0</v>
      </c>
      <c r="E53" s="757">
        <f t="shared" ca="1" si="6"/>
        <v>13129.697415000937</v>
      </c>
      <c r="F53" s="757">
        <f t="shared" si="6"/>
        <v>1399.0192632068872</v>
      </c>
      <c r="G53" s="757">
        <f t="shared" ca="1" si="6"/>
        <v>9903.4136658479183</v>
      </c>
      <c r="H53" s="757">
        <f t="shared" si="6"/>
        <v>8506.4438074439095</v>
      </c>
      <c r="I53" s="757">
        <f t="shared" si="6"/>
        <v>1639.8623221635337</v>
      </c>
      <c r="J53" s="757">
        <f t="shared" si="6"/>
        <v>0</v>
      </c>
      <c r="K53" s="757">
        <f t="shared" si="6"/>
        <v>806.38722217904262</v>
      </c>
      <c r="L53" s="757">
        <f t="shared" si="6"/>
        <v>0</v>
      </c>
      <c r="M53" s="757">
        <f t="shared" ca="1" si="6"/>
        <v>0</v>
      </c>
      <c r="N53" s="757">
        <f t="shared" si="6"/>
        <v>0</v>
      </c>
      <c r="O53" s="757">
        <f t="shared" ca="1" si="6"/>
        <v>0</v>
      </c>
      <c r="P53" s="757">
        <f>P41+P46+P48</f>
        <v>0</v>
      </c>
      <c r="Q53" s="758">
        <f t="shared" si="6"/>
        <v>0</v>
      </c>
      <c r="R53" s="759">
        <f ca="1">R41+R46+R48</f>
        <v>46808.14846084993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0.19670065998084618</v>
      </c>
      <c r="D55" s="823">
        <f t="shared" ca="1" si="7"/>
        <v>0</v>
      </c>
      <c r="E55" s="823">
        <f t="shared" ca="1" si="7"/>
        <v>0.20200000000000004</v>
      </c>
      <c r="F55" s="823">
        <f t="shared" si="7"/>
        <v>0.22700000000000006</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1927.4118122092377</v>
      </c>
      <c r="C66" s="779">
        <f>'lokale energieproductie'!B6</f>
        <v>1927.4118122092377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4458</v>
      </c>
      <c r="C67" s="778">
        <f>B67*IFERROR(SUM(J67:L67)/SUM(D67:M67),0)</f>
        <v>4458</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5244.7058823529424</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6385.4118122092377</v>
      </c>
      <c r="C69" s="787">
        <f>SUM(C64:C68)</f>
        <v>6385.4118122092377</v>
      </c>
      <c r="D69" s="788">
        <f t="shared" ref="D69:M69" si="8">SUM(D67:D68)</f>
        <v>0</v>
      </c>
      <c r="E69" s="788">
        <f t="shared" si="8"/>
        <v>0</v>
      </c>
      <c r="F69" s="788">
        <f t="shared" si="8"/>
        <v>0</v>
      </c>
      <c r="G69" s="788">
        <f t="shared" si="8"/>
        <v>0</v>
      </c>
      <c r="H69" s="788">
        <f t="shared" si="8"/>
        <v>0</v>
      </c>
      <c r="I69" s="788">
        <f t="shared" si="8"/>
        <v>0</v>
      </c>
      <c r="J69" s="788">
        <f t="shared" si="8"/>
        <v>0</v>
      </c>
      <c r="K69" s="788">
        <f t="shared" si="8"/>
        <v>5244.7058823529424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6368.5714285714284</v>
      </c>
      <c r="C78" s="801">
        <f>B78*IFERROR(SUM(I78:L78)/SUM(D78:M78),0)</f>
        <v>6368.5714285714284</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7492.4369747899173</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6368.5714285714284</v>
      </c>
      <c r="C81" s="787">
        <f>SUM(C78:C80)</f>
        <v>6368.5714285714284</v>
      </c>
      <c r="D81" s="787">
        <f t="shared" ref="D81:P81" si="9">SUM(D78:D80)</f>
        <v>0</v>
      </c>
      <c r="E81" s="787">
        <f t="shared" si="9"/>
        <v>0</v>
      </c>
      <c r="F81" s="787">
        <f t="shared" si="9"/>
        <v>0</v>
      </c>
      <c r="G81" s="787">
        <f t="shared" si="9"/>
        <v>0</v>
      </c>
      <c r="H81" s="787">
        <f t="shared" si="9"/>
        <v>0</v>
      </c>
      <c r="I81" s="787">
        <f t="shared" si="9"/>
        <v>0</v>
      </c>
      <c r="J81" s="787">
        <f t="shared" si="9"/>
        <v>0</v>
      </c>
      <c r="K81" s="787">
        <f t="shared" si="9"/>
        <v>7492.4369747899173</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18142.603861999294</v>
      </c>
      <c r="C4" s="461">
        <f>huishoudens!C8</f>
        <v>0</v>
      </c>
      <c r="D4" s="461">
        <f>huishoudens!D8</f>
        <v>38201.371877879137</v>
      </c>
      <c r="E4" s="461">
        <f>huishoudens!E8</f>
        <v>5501.5082409638208</v>
      </c>
      <c r="F4" s="461">
        <f>huishoudens!F8</f>
        <v>14561.424802602056</v>
      </c>
      <c r="G4" s="461">
        <f>huishoudens!G8</f>
        <v>0</v>
      </c>
      <c r="H4" s="461">
        <f>huishoudens!H8</f>
        <v>0</v>
      </c>
      <c r="I4" s="461">
        <f>huishoudens!I8</f>
        <v>0</v>
      </c>
      <c r="J4" s="461">
        <f>huishoudens!J8</f>
        <v>1904.7536109405094</v>
      </c>
      <c r="K4" s="461">
        <f>huishoudens!K8</f>
        <v>0</v>
      </c>
      <c r="L4" s="461">
        <f>huishoudens!L8</f>
        <v>0</v>
      </c>
      <c r="M4" s="461">
        <f>huishoudens!M8</f>
        <v>0</v>
      </c>
      <c r="N4" s="461">
        <f>huishoudens!N8</f>
        <v>13551.597637788096</v>
      </c>
      <c r="O4" s="461">
        <f>huishoudens!O8</f>
        <v>60.970000000000006</v>
      </c>
      <c r="P4" s="462">
        <f>huishoudens!P8</f>
        <v>95.333333333333343</v>
      </c>
      <c r="Q4" s="463">
        <f>SUM(B4:P4)</f>
        <v>92019.563365506241</v>
      </c>
    </row>
    <row r="5" spans="1:17">
      <c r="A5" s="460" t="s">
        <v>156</v>
      </c>
      <c r="B5" s="461">
        <f ca="1">tertiair!B16</f>
        <v>19454.124396056184</v>
      </c>
      <c r="C5" s="461">
        <f ca="1">tertiair!C16</f>
        <v>6368.5714285714284</v>
      </c>
      <c r="D5" s="461">
        <f ca="1">tertiair!D16</f>
        <v>11788.679682476115</v>
      </c>
      <c r="E5" s="461">
        <f>tertiair!E16</f>
        <v>271.67270049510466</v>
      </c>
      <c r="F5" s="461">
        <f ca="1">tertiair!F16</f>
        <v>2928.302770354504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38.133333333333333</v>
      </c>
      <c r="Q5" s="460">
        <f t="shared" ref="Q5:Q13" ca="1" si="0">SUM(B5:P5)</f>
        <v>40851.047644619997</v>
      </c>
    </row>
    <row r="6" spans="1:17">
      <c r="A6" s="460" t="s">
        <v>195</v>
      </c>
      <c r="B6" s="461">
        <f>'openbare verlichting'!B8</f>
        <v>1032.9870000000001</v>
      </c>
      <c r="C6" s="461"/>
      <c r="D6" s="461"/>
      <c r="E6" s="461"/>
      <c r="F6" s="461"/>
      <c r="G6" s="461"/>
      <c r="H6" s="461"/>
      <c r="I6" s="461"/>
      <c r="J6" s="461"/>
      <c r="K6" s="461"/>
      <c r="L6" s="461"/>
      <c r="M6" s="461"/>
      <c r="N6" s="461"/>
      <c r="O6" s="461"/>
      <c r="P6" s="462"/>
      <c r="Q6" s="460">
        <f t="shared" si="0"/>
        <v>1032.9870000000001</v>
      </c>
    </row>
    <row r="7" spans="1:17">
      <c r="A7" s="460" t="s">
        <v>112</v>
      </c>
      <c r="B7" s="461">
        <f>landbouw!B8</f>
        <v>2940.9512585308739</v>
      </c>
      <c r="C7" s="461">
        <f>landbouw!C8</f>
        <v>0</v>
      </c>
      <c r="D7" s="461">
        <f>landbouw!D8</f>
        <v>2776.8747665970682</v>
      </c>
      <c r="E7" s="461">
        <f>landbouw!E8</f>
        <v>30.798278269318722</v>
      </c>
      <c r="F7" s="461">
        <f>landbouw!F8</f>
        <v>15105.193934624473</v>
      </c>
      <c r="G7" s="461">
        <f>landbouw!G8</f>
        <v>0</v>
      </c>
      <c r="H7" s="461">
        <f>landbouw!H8</f>
        <v>0</v>
      </c>
      <c r="I7" s="461">
        <f>landbouw!I8</f>
        <v>0</v>
      </c>
      <c r="J7" s="461">
        <f>landbouw!J8</f>
        <v>262.65330758263326</v>
      </c>
      <c r="K7" s="461">
        <f>landbouw!K8</f>
        <v>0</v>
      </c>
      <c r="L7" s="461">
        <f>landbouw!L8</f>
        <v>0</v>
      </c>
      <c r="M7" s="461">
        <f>landbouw!M8</f>
        <v>0</v>
      </c>
      <c r="N7" s="461">
        <f>landbouw!N8</f>
        <v>0</v>
      </c>
      <c r="O7" s="461">
        <f>landbouw!O8</f>
        <v>0</v>
      </c>
      <c r="P7" s="462">
        <f>landbouw!P8</f>
        <v>0</v>
      </c>
      <c r="Q7" s="460">
        <f t="shared" si="0"/>
        <v>21116.471545604367</v>
      </c>
    </row>
    <row r="8" spans="1:17">
      <c r="A8" s="460" t="s">
        <v>656</v>
      </c>
      <c r="B8" s="461">
        <f>industrie!B18</f>
        <v>16503.707096756931</v>
      </c>
      <c r="C8" s="461">
        <f>industrie!C18</f>
        <v>0</v>
      </c>
      <c r="D8" s="461">
        <f>industrie!D18</f>
        <v>12229.541555421136</v>
      </c>
      <c r="E8" s="461">
        <f>industrie!E18</f>
        <v>163.43230845713089</v>
      </c>
      <c r="F8" s="461">
        <f>industrie!F18</f>
        <v>4496.515443160235</v>
      </c>
      <c r="G8" s="461">
        <f>industrie!G18</f>
        <v>0</v>
      </c>
      <c r="H8" s="461">
        <f>industrie!H18</f>
        <v>0</v>
      </c>
      <c r="I8" s="461">
        <f>industrie!I18</f>
        <v>0</v>
      </c>
      <c r="J8" s="461">
        <f>industrie!J18</f>
        <v>110.523087632345</v>
      </c>
      <c r="K8" s="461">
        <f>industrie!K18</f>
        <v>0</v>
      </c>
      <c r="L8" s="461">
        <f>industrie!L18</f>
        <v>0</v>
      </c>
      <c r="M8" s="461">
        <f>industrie!M18</f>
        <v>0</v>
      </c>
      <c r="N8" s="461">
        <f>industrie!N18</f>
        <v>406.31358116991089</v>
      </c>
      <c r="O8" s="461">
        <f>industrie!O18</f>
        <v>0</v>
      </c>
      <c r="P8" s="462">
        <f>industrie!P18</f>
        <v>0</v>
      </c>
      <c r="Q8" s="460">
        <f t="shared" si="0"/>
        <v>33910.033072597689</v>
      </c>
    </row>
    <row r="9" spans="1:17" s="466" customFormat="1">
      <c r="A9" s="464" t="s">
        <v>574</v>
      </c>
      <c r="B9" s="465">
        <f>transport!B14</f>
        <v>0.2905292176041675</v>
      </c>
      <c r="C9" s="465"/>
      <c r="D9" s="465">
        <f>transport!D14</f>
        <v>2.0341720866201376</v>
      </c>
      <c r="E9" s="465">
        <f>transport!E14</f>
        <v>195.66892647051506</v>
      </c>
      <c r="F9" s="465"/>
      <c r="G9" s="465">
        <f>transport!G14</f>
        <v>30493.081319539837</v>
      </c>
      <c r="H9" s="465">
        <f>transport!H14</f>
        <v>6585.7924584880875</v>
      </c>
      <c r="I9" s="465"/>
      <c r="J9" s="465"/>
      <c r="K9" s="465"/>
      <c r="L9" s="465"/>
      <c r="M9" s="465">
        <f>transport!M14</f>
        <v>1621.4538332255599</v>
      </c>
      <c r="N9" s="465"/>
      <c r="O9" s="465"/>
      <c r="P9" s="465"/>
      <c r="Q9" s="464">
        <f>SUM(B9:P9)</f>
        <v>38898.321239028228</v>
      </c>
    </row>
    <row r="10" spans="1:17">
      <c r="A10" s="460" t="s">
        <v>564</v>
      </c>
      <c r="B10" s="461">
        <f>transport!B54</f>
        <v>0</v>
      </c>
      <c r="C10" s="461"/>
      <c r="D10" s="461">
        <f>transport!D54</f>
        <v>0</v>
      </c>
      <c r="E10" s="461"/>
      <c r="F10" s="461"/>
      <c r="G10" s="461">
        <f>transport!G54</f>
        <v>1366.2587832463366</v>
      </c>
      <c r="H10" s="461"/>
      <c r="I10" s="461"/>
      <c r="J10" s="461"/>
      <c r="K10" s="461"/>
      <c r="L10" s="461"/>
      <c r="M10" s="461">
        <f>transport!M54</f>
        <v>58.237676250523343</v>
      </c>
      <c r="N10" s="461"/>
      <c r="O10" s="461"/>
      <c r="P10" s="462"/>
      <c r="Q10" s="460">
        <f t="shared" si="0"/>
        <v>1424.4964594968599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58074.66414256089</v>
      </c>
      <c r="C14" s="471">
        <f t="shared" ref="C14:Q14" ca="1" si="1">SUM(C4:C13)</f>
        <v>6368.5714285714284</v>
      </c>
      <c r="D14" s="471">
        <f t="shared" ca="1" si="1"/>
        <v>64998.50205446007</v>
      </c>
      <c r="E14" s="471">
        <f t="shared" si="1"/>
        <v>6163.0804546558893</v>
      </c>
      <c r="F14" s="471">
        <f t="shared" ca="1" si="1"/>
        <v>37091.436950741263</v>
      </c>
      <c r="G14" s="471">
        <f t="shared" si="1"/>
        <v>31859.340102786173</v>
      </c>
      <c r="H14" s="471">
        <f t="shared" si="1"/>
        <v>6585.7924584880875</v>
      </c>
      <c r="I14" s="471">
        <f t="shared" si="1"/>
        <v>0</v>
      </c>
      <c r="J14" s="471">
        <f t="shared" si="1"/>
        <v>2277.9300061554877</v>
      </c>
      <c r="K14" s="471">
        <f t="shared" si="1"/>
        <v>0</v>
      </c>
      <c r="L14" s="471">
        <f t="shared" ca="1" si="1"/>
        <v>0</v>
      </c>
      <c r="M14" s="471">
        <f t="shared" si="1"/>
        <v>1679.6915094760832</v>
      </c>
      <c r="N14" s="471">
        <f t="shared" ca="1" si="1"/>
        <v>13957.911218958006</v>
      </c>
      <c r="O14" s="471">
        <f t="shared" si="1"/>
        <v>62.533333333333339</v>
      </c>
      <c r="P14" s="472">
        <f t="shared" si="1"/>
        <v>133.46666666666667</v>
      </c>
      <c r="Q14" s="472">
        <f t="shared" ca="1" si="1"/>
        <v>229252.9203268534</v>
      </c>
    </row>
    <row r="16" spans="1:17">
      <c r="A16" s="474" t="s">
        <v>569</v>
      </c>
      <c r="B16" s="828">
        <f ca="1">huishoudens!B10</f>
        <v>0.19670065998084627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3568.6621534263113</v>
      </c>
      <c r="C21" s="461">
        <f t="shared" ref="C21:C28" ca="1" si="3">C4*$C$16</f>
        <v>0</v>
      </c>
      <c r="D21" s="461">
        <f t="shared" ref="D21:D30" si="4">D4*$D$16</f>
        <v>7716.6771193315863</v>
      </c>
      <c r="E21" s="461">
        <f t="shared" ref="E21:E30" si="5">E4*$E$16</f>
        <v>1248.8423706987874</v>
      </c>
      <c r="F21" s="461">
        <f t="shared" ref="F21:F28" si="6">F4*$F$16</f>
        <v>3887.9004222947492</v>
      </c>
      <c r="G21" s="461">
        <f t="shared" ref="G21:G30" si="7">G4*$G$16</f>
        <v>0</v>
      </c>
      <c r="H21" s="461">
        <f t="shared" ref="H21:H30" si="8">H4*$H$16</f>
        <v>0</v>
      </c>
      <c r="I21" s="461">
        <f t="shared" ref="I21:I28" si="9">I4*$I$16</f>
        <v>0</v>
      </c>
      <c r="J21" s="461">
        <f t="shared" ref="J21:J28" si="10">J4*$J$16</f>
        <v>674.28277827294028</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17096.364844024374</v>
      </c>
    </row>
    <row r="22" spans="1:17">
      <c r="A22" s="460" t="s">
        <v>156</v>
      </c>
      <c r="B22" s="461">
        <f t="shared" ca="1" si="2"/>
        <v>3826.6391080537337</v>
      </c>
      <c r="C22" s="461">
        <f t="shared" ca="1" si="3"/>
        <v>0</v>
      </c>
      <c r="D22" s="461">
        <f t="shared" ca="1" si="4"/>
        <v>2381.3132958601755</v>
      </c>
      <c r="E22" s="461">
        <f t="shared" si="5"/>
        <v>61.669703012388759</v>
      </c>
      <c r="F22" s="461">
        <f t="shared" ca="1" si="6"/>
        <v>781.85683968465264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7051.4789466109505</v>
      </c>
    </row>
    <row r="23" spans="1:17">
      <c r="A23" s="460" t="s">
        <v>195</v>
      </c>
      <c r="B23" s="461">
        <f t="shared" ca="1" si="2"/>
        <v>203.18922465163445</v>
      </c>
      <c r="C23" s="461"/>
      <c r="D23" s="461"/>
      <c r="E23" s="461"/>
      <c r="F23" s="461"/>
      <c r="G23" s="461"/>
      <c r="H23" s="461"/>
      <c r="I23" s="461"/>
      <c r="J23" s="461"/>
      <c r="K23" s="461"/>
      <c r="L23" s="461"/>
      <c r="M23" s="461"/>
      <c r="N23" s="461"/>
      <c r="O23" s="461"/>
      <c r="P23" s="462"/>
      <c r="Q23" s="460">
        <f t="shared" ca="1" si="17"/>
        <v>203.18922465163445</v>
      </c>
    </row>
    <row r="24" spans="1:17">
      <c r="A24" s="460" t="s">
        <v>112</v>
      </c>
      <c r="B24" s="461">
        <f t="shared" ca="1" si="2"/>
        <v>578.48705352452328</v>
      </c>
      <c r="C24" s="461">
        <f t="shared" ca="1" si="3"/>
        <v>0</v>
      </c>
      <c r="D24" s="461">
        <f t="shared" si="4"/>
        <v>560.92870285260778</v>
      </c>
      <c r="E24" s="461">
        <f t="shared" si="5"/>
        <v>6.9912091671353505</v>
      </c>
      <c r="F24" s="461">
        <f t="shared" si="6"/>
        <v>4033.0867805447342</v>
      </c>
      <c r="G24" s="461">
        <f t="shared" si="7"/>
        <v>0</v>
      </c>
      <c r="H24" s="461">
        <f t="shared" si="8"/>
        <v>0</v>
      </c>
      <c r="I24" s="461">
        <f t="shared" si="9"/>
        <v>0</v>
      </c>
      <c r="J24" s="461">
        <f t="shared" si="10"/>
        <v>92.979270884252173</v>
      </c>
      <c r="K24" s="461">
        <f t="shared" si="11"/>
        <v>0</v>
      </c>
      <c r="L24" s="461">
        <f t="shared" si="12"/>
        <v>0</v>
      </c>
      <c r="M24" s="461">
        <f t="shared" si="13"/>
        <v>0</v>
      </c>
      <c r="N24" s="461">
        <f t="shared" si="14"/>
        <v>0</v>
      </c>
      <c r="O24" s="461">
        <f t="shared" si="15"/>
        <v>0</v>
      </c>
      <c r="P24" s="462">
        <f t="shared" si="16"/>
        <v>0</v>
      </c>
      <c r="Q24" s="460">
        <f t="shared" ca="1" si="17"/>
        <v>5272.4730169732529</v>
      </c>
    </row>
    <row r="25" spans="1:17">
      <c r="A25" s="460" t="s">
        <v>656</v>
      </c>
      <c r="B25" s="461">
        <f t="shared" ca="1" si="2"/>
        <v>3246.2900780626646</v>
      </c>
      <c r="C25" s="461">
        <f t="shared" ca="1" si="3"/>
        <v>0</v>
      </c>
      <c r="D25" s="461">
        <f t="shared" si="4"/>
        <v>2470.3673941950697</v>
      </c>
      <c r="E25" s="461">
        <f t="shared" si="5"/>
        <v>37.099134019768712</v>
      </c>
      <c r="F25" s="461">
        <f t="shared" si="6"/>
        <v>1200.5696233237827</v>
      </c>
      <c r="G25" s="461">
        <f t="shared" si="7"/>
        <v>0</v>
      </c>
      <c r="H25" s="461">
        <f t="shared" si="8"/>
        <v>0</v>
      </c>
      <c r="I25" s="461">
        <f t="shared" si="9"/>
        <v>0</v>
      </c>
      <c r="J25" s="461">
        <f t="shared" si="10"/>
        <v>39.125173021850124</v>
      </c>
      <c r="K25" s="461">
        <f t="shared" si="11"/>
        <v>0</v>
      </c>
      <c r="L25" s="461">
        <f t="shared" si="12"/>
        <v>0</v>
      </c>
      <c r="M25" s="461">
        <f t="shared" si="13"/>
        <v>0</v>
      </c>
      <c r="N25" s="461">
        <f t="shared" si="14"/>
        <v>0</v>
      </c>
      <c r="O25" s="461">
        <f t="shared" si="15"/>
        <v>0</v>
      </c>
      <c r="P25" s="462">
        <f t="shared" si="16"/>
        <v>0</v>
      </c>
      <c r="Q25" s="460">
        <f t="shared" ca="1" si="17"/>
        <v>6993.4514026231354</v>
      </c>
    </row>
    <row r="26" spans="1:17" s="466" customFormat="1">
      <c r="A26" s="464" t="s">
        <v>574</v>
      </c>
      <c r="B26" s="822">
        <f t="shared" ca="1" si="2"/>
        <v>5.7147288846458644E-2</v>
      </c>
      <c r="C26" s="465"/>
      <c r="D26" s="465">
        <f t="shared" si="4"/>
        <v>0.41090276149726784</v>
      </c>
      <c r="E26" s="465">
        <f t="shared" si="5"/>
        <v>44.416846308806917</v>
      </c>
      <c r="F26" s="465"/>
      <c r="G26" s="465">
        <f t="shared" si="7"/>
        <v>8141.6527123171372</v>
      </c>
      <c r="H26" s="465">
        <f t="shared" si="8"/>
        <v>1639.8623221635337</v>
      </c>
      <c r="I26" s="465"/>
      <c r="J26" s="465"/>
      <c r="K26" s="465"/>
      <c r="L26" s="465"/>
      <c r="M26" s="465">
        <f t="shared" si="13"/>
        <v>0</v>
      </c>
      <c r="N26" s="465"/>
      <c r="O26" s="465"/>
      <c r="P26" s="476"/>
      <c r="Q26" s="464">
        <f t="shared" ca="1" si="17"/>
        <v>9826.3999308398215</v>
      </c>
    </row>
    <row r="27" spans="1:17">
      <c r="A27" s="460" t="s">
        <v>564</v>
      </c>
      <c r="B27" s="461">
        <f t="shared" ca="1" si="2"/>
        <v>0</v>
      </c>
      <c r="C27" s="461"/>
      <c r="D27" s="465">
        <f>D10*$D$16</f>
        <v>0</v>
      </c>
      <c r="E27" s="461"/>
      <c r="F27" s="461"/>
      <c r="G27" s="461">
        <f t="shared" si="7"/>
        <v>364.79109512677189</v>
      </c>
      <c r="H27" s="461"/>
      <c r="I27" s="461"/>
      <c r="J27" s="461"/>
      <c r="K27" s="461"/>
      <c r="L27" s="461"/>
      <c r="M27" s="461">
        <f t="shared" si="13"/>
        <v>0</v>
      </c>
      <c r="N27" s="461"/>
      <c r="O27" s="461"/>
      <c r="P27" s="462"/>
      <c r="Q27" s="460">
        <f t="shared" ca="1" si="17"/>
        <v>364.79109512677189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11423.324765007714</v>
      </c>
      <c r="C31" s="471">
        <f t="shared" ca="1" si="18"/>
        <v>0</v>
      </c>
      <c r="D31" s="471">
        <f t="shared" ca="1" si="18"/>
        <v>13129.697415000937</v>
      </c>
      <c r="E31" s="471">
        <f t="shared" si="18"/>
        <v>1399.0192632068872</v>
      </c>
      <c r="F31" s="471">
        <f t="shared" ca="1" si="18"/>
        <v>9903.4136658479183</v>
      </c>
      <c r="G31" s="471">
        <f t="shared" si="18"/>
        <v>8506.4438074439095</v>
      </c>
      <c r="H31" s="471">
        <f t="shared" si="18"/>
        <v>1639.8623221635337</v>
      </c>
      <c r="I31" s="471">
        <f t="shared" si="18"/>
        <v>0</v>
      </c>
      <c r="J31" s="471">
        <f t="shared" si="18"/>
        <v>806.38722217904262</v>
      </c>
      <c r="K31" s="471">
        <f t="shared" si="18"/>
        <v>0</v>
      </c>
      <c r="L31" s="471">
        <f t="shared" ca="1" si="18"/>
        <v>0</v>
      </c>
      <c r="M31" s="471">
        <f t="shared" si="18"/>
        <v>0</v>
      </c>
      <c r="N31" s="471">
        <f t="shared" ca="1" si="18"/>
        <v>0</v>
      </c>
      <c r="O31" s="471">
        <f t="shared" si="18"/>
        <v>0</v>
      </c>
      <c r="P31" s="472">
        <f t="shared" si="18"/>
        <v>0</v>
      </c>
      <c r="Q31" s="472">
        <f t="shared" ca="1" si="18"/>
        <v>46808.148460849938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0.19670065998084627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0.19670065998084627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0.19670065998084627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36012</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4411</v>
      </c>
      <c r="C9" s="336">
        <v>4751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2547</v>
      </c>
    </row>
    <row r="15" spans="1:6">
      <c r="A15" s="1251" t="s">
        <v>185</v>
      </c>
      <c r="B15" s="333">
        <v>25</v>
      </c>
    </row>
    <row r="16" spans="1:6">
      <c r="A16" s="1251" t="s">
        <v>6</v>
      </c>
      <c r="B16" s="333">
        <v>568</v>
      </c>
    </row>
    <row r="17" spans="1:6">
      <c r="A17" s="1251" t="s">
        <v>7</v>
      </c>
      <c r="B17" s="333">
        <v>710</v>
      </c>
    </row>
    <row r="18" spans="1:6">
      <c r="A18" s="1251" t="s">
        <v>8</v>
      </c>
      <c r="B18" s="333">
        <v>882</v>
      </c>
    </row>
    <row r="19" spans="1:6">
      <c r="A19" s="1251" t="s">
        <v>9</v>
      </c>
      <c r="B19" s="333">
        <v>848</v>
      </c>
    </row>
    <row r="20" spans="1:6">
      <c r="A20" s="1251" t="s">
        <v>10</v>
      </c>
      <c r="B20" s="333">
        <v>612</v>
      </c>
    </row>
    <row r="21" spans="1:6">
      <c r="A21" s="1251" t="s">
        <v>11</v>
      </c>
      <c r="B21" s="333">
        <v>9124</v>
      </c>
    </row>
    <row r="22" spans="1:6">
      <c r="A22" s="1251" t="s">
        <v>12</v>
      </c>
      <c r="B22" s="333">
        <v>26470</v>
      </c>
    </row>
    <row r="23" spans="1:6">
      <c r="A23" s="1251" t="s">
        <v>13</v>
      </c>
      <c r="B23" s="333">
        <v>497</v>
      </c>
    </row>
    <row r="24" spans="1:6">
      <c r="A24" s="1251" t="s">
        <v>14</v>
      </c>
      <c r="B24" s="333">
        <v>21</v>
      </c>
    </row>
    <row r="25" spans="1:6">
      <c r="A25" s="1251" t="s">
        <v>15</v>
      </c>
      <c r="B25" s="333">
        <v>2686</v>
      </c>
    </row>
    <row r="26" spans="1:6">
      <c r="A26" s="1251" t="s">
        <v>16</v>
      </c>
      <c r="B26" s="333">
        <v>146</v>
      </c>
    </row>
    <row r="27" spans="1:6">
      <c r="A27" s="1251" t="s">
        <v>17</v>
      </c>
      <c r="B27" s="333">
        <v>9</v>
      </c>
    </row>
    <row r="28" spans="1:6">
      <c r="A28" s="1251" t="s">
        <v>18</v>
      </c>
      <c r="B28" s="333">
        <v>61958</v>
      </c>
    </row>
    <row r="29" spans="1:6">
      <c r="A29" s="1251" t="s">
        <v>925</v>
      </c>
      <c r="B29" s="333">
        <v>168</v>
      </c>
    </row>
    <row r="30" spans="1:6">
      <c r="A30" s="1247" t="s">
        <v>926</v>
      </c>
      <c r="B30" s="1247">
        <v>4</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1</v>
      </c>
      <c r="F38" s="333">
        <v>96232.511227750001</v>
      </c>
    </row>
    <row r="39" spans="1:6">
      <c r="A39" s="1251" t="s">
        <v>30</v>
      </c>
      <c r="B39" s="1251" t="s">
        <v>31</v>
      </c>
      <c r="C39" s="333">
        <v>2689</v>
      </c>
      <c r="D39" s="333">
        <v>42351853.523147598</v>
      </c>
      <c r="E39" s="333">
        <v>4013</v>
      </c>
      <c r="F39" s="333">
        <v>16787810.1087511</v>
      </c>
    </row>
    <row r="40" spans="1:6">
      <c r="A40" s="1251" t="s">
        <v>30</v>
      </c>
      <c r="B40" s="1251" t="s">
        <v>29</v>
      </c>
      <c r="C40" s="333">
        <v>0</v>
      </c>
      <c r="D40" s="333">
        <v>0</v>
      </c>
      <c r="E40" s="333">
        <v>0</v>
      </c>
      <c r="F40" s="333">
        <v>0</v>
      </c>
    </row>
    <row r="41" spans="1:6">
      <c r="A41" s="1251" t="s">
        <v>32</v>
      </c>
      <c r="B41" s="1251" t="s">
        <v>33</v>
      </c>
      <c r="C41" s="333">
        <v>51</v>
      </c>
      <c r="D41" s="333">
        <v>1209380.6268971099</v>
      </c>
      <c r="E41" s="333">
        <v>101</v>
      </c>
      <c r="F41" s="333">
        <v>2425048.3623608402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236102.848743209</v>
      </c>
      <c r="E44" s="333">
        <v>17</v>
      </c>
      <c r="F44" s="333">
        <v>1407779.05103397</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3</v>
      </c>
      <c r="D47" s="333">
        <v>123654.018498137</v>
      </c>
      <c r="E47" s="333">
        <v>3</v>
      </c>
      <c r="F47" s="333">
        <v>58974.779089208598</v>
      </c>
    </row>
    <row r="48" spans="1:6">
      <c r="A48" s="1251" t="s">
        <v>32</v>
      </c>
      <c r="B48" s="1251" t="s">
        <v>29</v>
      </c>
      <c r="C48" s="333">
        <v>28</v>
      </c>
      <c r="D48" s="333">
        <v>11349293.825841101</v>
      </c>
      <c r="E48" s="333">
        <v>39</v>
      </c>
      <c r="F48" s="333">
        <v>11878631.674616</v>
      </c>
    </row>
    <row r="49" spans="1:6">
      <c r="A49" s="1251" t="s">
        <v>32</v>
      </c>
      <c r="B49" s="1251" t="s">
        <v>40</v>
      </c>
      <c r="C49" s="333">
        <v>0</v>
      </c>
      <c r="D49" s="333">
        <v>0</v>
      </c>
      <c r="E49" s="333">
        <v>4</v>
      </c>
      <c r="F49" s="333">
        <v>423501.62903832598</v>
      </c>
    </row>
    <row r="50" spans="1:6">
      <c r="A50" s="1251" t="s">
        <v>32</v>
      </c>
      <c r="B50" s="1251" t="s">
        <v>41</v>
      </c>
      <c r="C50" s="333">
        <v>8</v>
      </c>
      <c r="D50" s="333">
        <v>639818.74146294396</v>
      </c>
      <c r="E50" s="333">
        <v>10</v>
      </c>
      <c r="F50" s="333">
        <v>309771.60061858402</v>
      </c>
    </row>
    <row r="51" spans="1:6">
      <c r="A51" s="1251" t="s">
        <v>42</v>
      </c>
      <c r="B51" s="1251" t="s">
        <v>43</v>
      </c>
      <c r="C51" s="333">
        <v>9</v>
      </c>
      <c r="D51" s="333">
        <v>197542.56350024999</v>
      </c>
      <c r="E51" s="333">
        <v>153</v>
      </c>
      <c r="F51" s="333">
        <v>2756043.80658051</v>
      </c>
    </row>
    <row r="52" spans="1:6">
      <c r="A52" s="1251" t="s">
        <v>42</v>
      </c>
      <c r="B52" s="1251" t="s">
        <v>29</v>
      </c>
      <c r="C52" s="333">
        <v>5</v>
      </c>
      <c r="D52" s="333">
        <v>135817.22818901201</v>
      </c>
      <c r="E52" s="333">
        <v>6</v>
      </c>
      <c r="F52" s="333">
        <v>184907.45195036399</v>
      </c>
    </row>
    <row r="53" spans="1:6">
      <c r="A53" s="1251" t="s">
        <v>44</v>
      </c>
      <c r="B53" s="1251" t="s">
        <v>45</v>
      </c>
      <c r="C53" s="333">
        <v>136</v>
      </c>
      <c r="D53" s="333">
        <v>2745215.3375757802</v>
      </c>
      <c r="E53" s="333">
        <v>193</v>
      </c>
      <c r="F53" s="333">
        <v>1140150.7125309401</v>
      </c>
    </row>
    <row r="54" spans="1:6">
      <c r="A54" s="1251" t="s">
        <v>46</v>
      </c>
      <c r="B54" s="1251" t="s">
        <v>47</v>
      </c>
      <c r="C54" s="333">
        <v>0</v>
      </c>
      <c r="D54" s="333">
        <v>0</v>
      </c>
      <c r="E54" s="333">
        <v>1</v>
      </c>
      <c r="F54" s="333">
        <v>1032987</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26</v>
      </c>
      <c r="D57" s="333">
        <v>515554.034096841</v>
      </c>
      <c r="E57" s="333">
        <v>70</v>
      </c>
      <c r="F57" s="333">
        <v>1125307.9461298501</v>
      </c>
    </row>
    <row r="58" spans="1:6">
      <c r="A58" s="1251" t="s">
        <v>49</v>
      </c>
      <c r="B58" s="1251" t="s">
        <v>51</v>
      </c>
      <c r="C58" s="333">
        <v>8</v>
      </c>
      <c r="D58" s="333">
        <v>493201.05438444298</v>
      </c>
      <c r="E58" s="333">
        <v>17</v>
      </c>
      <c r="F58" s="333">
        <v>752104.61579728499</v>
      </c>
    </row>
    <row r="59" spans="1:6">
      <c r="A59" s="1251" t="s">
        <v>49</v>
      </c>
      <c r="B59" s="1251" t="s">
        <v>52</v>
      </c>
      <c r="C59" s="333">
        <v>53</v>
      </c>
      <c r="D59" s="333">
        <v>1607509.55732302</v>
      </c>
      <c r="E59" s="333">
        <v>144</v>
      </c>
      <c r="F59" s="333">
        <v>3549079.7830239902</v>
      </c>
    </row>
    <row r="60" spans="1:6">
      <c r="A60" s="1251" t="s">
        <v>49</v>
      </c>
      <c r="B60" s="1251" t="s">
        <v>53</v>
      </c>
      <c r="C60" s="333">
        <v>29</v>
      </c>
      <c r="D60" s="333">
        <v>1202439.23467983</v>
      </c>
      <c r="E60" s="333">
        <v>44</v>
      </c>
      <c r="F60" s="333">
        <v>832239.08318000904</v>
      </c>
    </row>
    <row r="61" spans="1:6">
      <c r="A61" s="1251" t="s">
        <v>49</v>
      </c>
      <c r="B61" s="1251" t="s">
        <v>54</v>
      </c>
      <c r="C61" s="333">
        <v>58</v>
      </c>
      <c r="D61" s="333">
        <v>2264987.1648760401</v>
      </c>
      <c r="E61" s="333">
        <v>102</v>
      </c>
      <c r="F61" s="333">
        <v>1110427.40747217</v>
      </c>
    </row>
    <row r="62" spans="1:6">
      <c r="A62" s="1251" t="s">
        <v>49</v>
      </c>
      <c r="B62" s="1251" t="s">
        <v>55</v>
      </c>
      <c r="C62" s="333">
        <v>0</v>
      </c>
      <c r="D62" s="333">
        <v>0</v>
      </c>
      <c r="E62" s="333">
        <v>5</v>
      </c>
      <c r="F62" s="333">
        <v>150552.51945171901</v>
      </c>
    </row>
    <row r="63" spans="1:6">
      <c r="A63" s="1251" t="s">
        <v>49</v>
      </c>
      <c r="B63" s="1251" t="s">
        <v>29</v>
      </c>
      <c r="C63" s="333">
        <v>89</v>
      </c>
      <c r="D63" s="333">
        <v>6985798.62479073</v>
      </c>
      <c r="E63" s="333">
        <v>85</v>
      </c>
      <c r="F63" s="333">
        <v>7476413.0410011597</v>
      </c>
    </row>
    <row r="64" spans="1:6">
      <c r="A64" s="1251" t="s">
        <v>56</v>
      </c>
      <c r="B64" s="1251" t="s">
        <v>57</v>
      </c>
      <c r="C64" s="333">
        <v>0</v>
      </c>
      <c r="D64" s="333">
        <v>0</v>
      </c>
      <c r="E64" s="333">
        <v>0</v>
      </c>
      <c r="F64" s="333">
        <v>0</v>
      </c>
    </row>
    <row r="65" spans="1:6">
      <c r="A65" s="1251" t="s">
        <v>56</v>
      </c>
      <c r="B65" s="1251" t="s">
        <v>29</v>
      </c>
      <c r="C65" s="333">
        <v>2</v>
      </c>
      <c r="D65" s="333">
        <v>18685.307529243499</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7</v>
      </c>
      <c r="D68" s="333">
        <v>348983.68555363099</v>
      </c>
      <c r="E68" s="333">
        <v>22</v>
      </c>
      <c r="F68" s="333">
        <v>367214.76375514799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7784126</v>
      </c>
      <c r="E73" s="333">
        <v>7331429.4879234172</v>
      </c>
      <c r="F73" s="333">
        <v>7738468</v>
      </c>
    </row>
    <row r="74" spans="1:6">
      <c r="A74" s="1251" t="s">
        <v>64</v>
      </c>
      <c r="B74" s="1251" t="s">
        <v>775</v>
      </c>
      <c r="C74" s="1262" t="s">
        <v>776</v>
      </c>
      <c r="D74" s="333">
        <v>574246.20967265149</v>
      </c>
      <c r="E74" s="333">
        <v>574898.83952039108</v>
      </c>
      <c r="F74" s="333">
        <v>599188.73043070838</v>
      </c>
    </row>
    <row r="75" spans="1:6">
      <c r="A75" s="1251" t="s">
        <v>65</v>
      </c>
      <c r="B75" s="1251" t="s">
        <v>773</v>
      </c>
      <c r="C75" s="1262" t="s">
        <v>777</v>
      </c>
      <c r="D75" s="333">
        <v>28604675</v>
      </c>
      <c r="E75" s="333">
        <v>27261487.205510322</v>
      </c>
      <c r="F75" s="333">
        <v>28767253</v>
      </c>
    </row>
    <row r="76" spans="1:6">
      <c r="A76" s="1251" t="s">
        <v>65</v>
      </c>
      <c r="B76" s="1251" t="s">
        <v>775</v>
      </c>
      <c r="C76" s="1262" t="s">
        <v>778</v>
      </c>
      <c r="D76" s="333">
        <v>1661390.2096726515</v>
      </c>
      <c r="E76" s="333">
        <v>1686733.164862527</v>
      </c>
      <c r="F76" s="333">
        <v>1729851.7304307085</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374591.58065469714</v>
      </c>
      <c r="C83" s="333">
        <v>337489.12159926997</v>
      </c>
      <c r="D83" s="333">
        <v>334632.53913858318</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1354.7937532481969</v>
      </c>
    </row>
    <row r="92" spans="1:6">
      <c r="A92" s="1247" t="s">
        <v>69</v>
      </c>
      <c r="B92" s="336">
        <v>572.6180589610409</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1963</v>
      </c>
    </row>
    <row r="98" spans="1:6">
      <c r="A98" s="1251" t="s">
        <v>72</v>
      </c>
      <c r="B98" s="333">
        <v>1</v>
      </c>
    </row>
    <row r="99" spans="1:6">
      <c r="A99" s="1251" t="s">
        <v>73</v>
      </c>
      <c r="B99" s="333">
        <v>148</v>
      </c>
    </row>
    <row r="100" spans="1:6">
      <c r="A100" s="1251" t="s">
        <v>74</v>
      </c>
      <c r="B100" s="333">
        <v>286</v>
      </c>
    </row>
    <row r="101" spans="1:6">
      <c r="A101" s="1251" t="s">
        <v>75</v>
      </c>
      <c r="B101" s="333">
        <v>126</v>
      </c>
    </row>
    <row r="102" spans="1:6">
      <c r="A102" s="1251" t="s">
        <v>76</v>
      </c>
      <c r="B102" s="333">
        <v>69</v>
      </c>
    </row>
    <row r="103" spans="1:6">
      <c r="A103" s="1251" t="s">
        <v>77</v>
      </c>
      <c r="B103" s="333">
        <v>139</v>
      </c>
    </row>
    <row r="104" spans="1:6">
      <c r="A104" s="1251" t="s">
        <v>78</v>
      </c>
      <c r="B104" s="333">
        <v>1292</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5</v>
      </c>
      <c r="C123" s="333">
        <v>1</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38</v>
      </c>
    </row>
    <row r="130" spans="1:6">
      <c r="A130" s="1251" t="s">
        <v>296</v>
      </c>
      <c r="B130" s="333">
        <v>1</v>
      </c>
    </row>
    <row r="131" spans="1:6">
      <c r="A131" s="1251" t="s">
        <v>297</v>
      </c>
      <c r="B131" s="333">
        <v>2</v>
      </c>
    </row>
    <row r="132" spans="1:6">
      <c r="A132" s="1247" t="s">
        <v>298</v>
      </c>
      <c r="B132" s="336">
        <v>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58074.664142560898</v>
      </c>
      <c r="C3" s="43" t="s">
        <v>171</v>
      </c>
      <c r="D3" s="43"/>
      <c r="E3" s="156"/>
      <c r="F3" s="43"/>
      <c r="G3" s="43"/>
      <c r="H3" s="43"/>
      <c r="I3" s="43"/>
      <c r="J3" s="43"/>
      <c r="K3" s="96"/>
    </row>
    <row r="4" spans="1:11">
      <c r="A4" s="364" t="s">
        <v>172</v>
      </c>
      <c r="B4" s="49">
        <f>IF(ISERROR('SEAP template'!B69),0,'SEAP template'!B69)</f>
        <v>6385.4118122092377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0.19670065998084627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6368.5714285714284</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1032.9870000000001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1032.9870000000001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0.19670065998084627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203.18922465163445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16787.810108751099</v>
      </c>
      <c r="C5" s="17">
        <f>IF(ISERROR('Eigen informatie GS &amp; warmtenet'!B57),0,'Eigen informatie GS &amp; warmtenet'!B57)</f>
        <v>0</v>
      </c>
      <c r="D5" s="30">
        <f>(SUM(HH_hh_gas_kWh,HH_rest_gas_kWh)/1000)*0.902</f>
        <v>38201.371877879137</v>
      </c>
      <c r="E5" s="17">
        <f>B46*B57</f>
        <v>5501.5082409638208</v>
      </c>
      <c r="F5" s="17">
        <f>B51*B62</f>
        <v>14561.424802602056</v>
      </c>
      <c r="G5" s="18"/>
      <c r="H5" s="17"/>
      <c r="I5" s="17"/>
      <c r="J5" s="17">
        <f>B50*B61+C50*C61</f>
        <v>1904.7536109405094</v>
      </c>
      <c r="K5" s="17"/>
      <c r="L5" s="17"/>
      <c r="M5" s="17"/>
      <c r="N5" s="17">
        <f>B48*B59+C48*C59</f>
        <v>13551.597637788096</v>
      </c>
      <c r="O5" s="17">
        <f>B69*B70*B71</f>
        <v>60.970000000000006</v>
      </c>
      <c r="P5" s="17">
        <f>B77*B78*B79/1000-B77*B78*B79/1000/B80</f>
        <v>95.333333333333343</v>
      </c>
    </row>
    <row r="6" spans="1:16">
      <c r="A6" s="16" t="s">
        <v>633</v>
      </c>
      <c r="B6" s="830">
        <f>kWh_PV_kleiner_dan_10kW</f>
        <v>1354.7937532481969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18142.603861999294</v>
      </c>
      <c r="C8" s="21">
        <f>C5</f>
        <v>0</v>
      </c>
      <c r="D8" s="21">
        <f>D5</f>
        <v>38201.371877879137</v>
      </c>
      <c r="E8" s="21">
        <f>E5</f>
        <v>5501.5082409638208</v>
      </c>
      <c r="F8" s="21">
        <f>F5</f>
        <v>14561.424802602056</v>
      </c>
      <c r="G8" s="21"/>
      <c r="H8" s="21"/>
      <c r="I8" s="21"/>
      <c r="J8" s="21">
        <f>J5</f>
        <v>1904.7536109405094</v>
      </c>
      <c r="K8" s="21"/>
      <c r="L8" s="21">
        <f>L5</f>
        <v>0</v>
      </c>
      <c r="M8" s="21">
        <f>M5</f>
        <v>0</v>
      </c>
      <c r="N8" s="21">
        <f>N5</f>
        <v>13551.597637788096</v>
      </c>
      <c r="O8" s="21">
        <f>O5</f>
        <v>60.970000000000006</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0.19670065998084627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3568.6621534263113</v>
      </c>
      <c r="C12" s="23">
        <f ca="1">C10*C8</f>
        <v>0</v>
      </c>
      <c r="D12" s="23">
        <f>D8*D10</f>
        <v>7716.6771193315863</v>
      </c>
      <c r="E12" s="23">
        <f>E10*E8</f>
        <v>1248.8423706987874</v>
      </c>
      <c r="F12" s="23">
        <f>F10*F8</f>
        <v>3887.9004222947492</v>
      </c>
      <c r="G12" s="23"/>
      <c r="H12" s="23"/>
      <c r="I12" s="23"/>
      <c r="J12" s="23">
        <f>J10*J8</f>
        <v>674.28277827294028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1963</v>
      </c>
      <c r="C18" s="167" t="s">
        <v>111</v>
      </c>
      <c r="D18" s="229"/>
      <c r="E18" s="15"/>
    </row>
    <row r="19" spans="1:7">
      <c r="A19" s="172" t="s">
        <v>72</v>
      </c>
      <c r="B19" s="37">
        <f>aantalw2001_ander</f>
        <v>1</v>
      </c>
      <c r="C19" s="167" t="s">
        <v>111</v>
      </c>
      <c r="D19" s="230"/>
      <c r="E19" s="15"/>
    </row>
    <row r="20" spans="1:7">
      <c r="A20" s="172" t="s">
        <v>73</v>
      </c>
      <c r="B20" s="37">
        <f>aantalw2001_propaan</f>
        <v>148</v>
      </c>
      <c r="C20" s="168">
        <f>IF(ISERROR(B20/SUM($B$20,$B$21,$B$22)*100),0,B20/SUM($B$20,$B$21,$B$22)*100)</f>
        <v>26.428571428571431</v>
      </c>
      <c r="D20" s="230"/>
      <c r="E20" s="15"/>
    </row>
    <row r="21" spans="1:7">
      <c r="A21" s="172" t="s">
        <v>74</v>
      </c>
      <c r="B21" s="37">
        <f>aantalw2001_elektriciteit</f>
        <v>286</v>
      </c>
      <c r="C21" s="168">
        <f>IF(ISERROR(B21/SUM($B$20,$B$21,$B$22)*100),0,B21/SUM($B$20,$B$21,$B$22)*100)</f>
        <v>51.071428571428569</v>
      </c>
      <c r="D21" s="230"/>
      <c r="E21" s="15"/>
    </row>
    <row r="22" spans="1:7">
      <c r="A22" s="172" t="s">
        <v>75</v>
      </c>
      <c r="B22" s="37">
        <f>aantalw2001_hout</f>
        <v>126</v>
      </c>
      <c r="C22" s="168">
        <f>IF(ISERROR(B22/SUM($B$20,$B$21,$B$22)*100),0,B22/SUM($B$20,$B$21,$B$22)*100)</f>
        <v>22.5</v>
      </c>
      <c r="D22" s="230"/>
      <c r="E22" s="15"/>
    </row>
    <row r="23" spans="1:7">
      <c r="A23" s="172" t="s">
        <v>76</v>
      </c>
      <c r="B23" s="37">
        <f>aantalw2001_niet_gespec</f>
        <v>69</v>
      </c>
      <c r="C23" s="167" t="s">
        <v>111</v>
      </c>
      <c r="D23" s="229"/>
      <c r="E23" s="15"/>
    </row>
    <row r="24" spans="1:7">
      <c r="A24" s="172" t="s">
        <v>77</v>
      </c>
      <c r="B24" s="37">
        <f>aantalw2001_steenkool</f>
        <v>139</v>
      </c>
      <c r="C24" s="167" t="s">
        <v>111</v>
      </c>
      <c r="D24" s="230"/>
      <c r="E24" s="15"/>
    </row>
    <row r="25" spans="1:7">
      <c r="A25" s="172" t="s">
        <v>78</v>
      </c>
      <c r="B25" s="37">
        <f>aantalw2001_stookolie</f>
        <v>1292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4411</v>
      </c>
      <c r="C28" s="36"/>
      <c r="D28" s="229"/>
    </row>
    <row r="29" spans="1:7" s="15" customFormat="1">
      <c r="A29" s="231" t="s">
        <v>714</v>
      </c>
      <c r="B29" s="37">
        <f>SUM(HH_hh_gas_aantal,HH_rest_gas_aantal)</f>
        <v>2689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2689</v>
      </c>
      <c r="C32" s="168">
        <f>IF(ISERROR(B32/SUM($B$32,$B$34,$B$35,$B$36,$B$38,$B$39)*100),0,B32/SUM($B$32,$B$34,$B$35,$B$36,$B$38,$B$39)*100)</f>
        <v>61.030413073082158</v>
      </c>
      <c r="D32" s="234"/>
      <c r="G32" s="15"/>
    </row>
    <row r="33" spans="1:7">
      <c r="A33" s="172" t="s">
        <v>72</v>
      </c>
      <c r="B33" s="34" t="s">
        <v>111</v>
      </c>
      <c r="C33" s="168"/>
      <c r="D33" s="234"/>
      <c r="G33" s="15"/>
    </row>
    <row r="34" spans="1:7">
      <c r="A34" s="172" t="s">
        <v>73</v>
      </c>
      <c r="B34" s="33">
        <f>IF((($B$28-$B$32-$B$39-$B$77-$B$38)*C20/100)&lt;0,0,($B$28-$B$32-$B$39-$B$77-$B$38)*C20/100)</f>
        <v>267.45714285714291</v>
      </c>
      <c r="C34" s="168">
        <f>IF(ISERROR(B34/SUM($B$32,$B$34,$B$35,$B$36,$B$38,$B$39)*100),0,B34/SUM($B$32,$B$34,$B$35,$B$36,$B$38,$B$39)*100)</f>
        <v>6.070293755268791</v>
      </c>
      <c r="D34" s="234"/>
      <c r="G34" s="15"/>
    </row>
    <row r="35" spans="1:7">
      <c r="A35" s="172" t="s">
        <v>74</v>
      </c>
      <c r="B35" s="33">
        <f>IF((($B$28-$B$32-$B$39-$B$77-$B$38)*C21/100)&lt;0,0,($B$28-$B$32-$B$39-$B$77-$B$38)*C21/100)</f>
        <v>516.84285714285716</v>
      </c>
      <c r="C35" s="168">
        <f>IF(ISERROR(B35/SUM($B$32,$B$34,$B$35,$B$36,$B$38,$B$39)*100),0,B35/SUM($B$32,$B$34,$B$35,$B$36,$B$38,$B$39)*100)</f>
        <v>11.730432527073472</v>
      </c>
      <c r="D35" s="234"/>
      <c r="G35" s="15"/>
    </row>
    <row r="36" spans="1:7">
      <c r="A36" s="172" t="s">
        <v>75</v>
      </c>
      <c r="B36" s="33">
        <f>IF((($B$28-$B$32-$B$39-$B$77-$B$38)*C22/100)&lt;0,0,($B$28-$B$32-$B$39-$B$77-$B$38)*C22/100)</f>
        <v>227.70000000000005</v>
      </c>
      <c r="C36" s="168">
        <f>IF(ISERROR(B36/SUM($B$32,$B$34,$B$35,$B$36,$B$38,$B$39)*100),0,B36/SUM($B$32,$B$34,$B$35,$B$36,$B$38,$B$39)*100)</f>
        <v>5.1679527916477541</v>
      </c>
      <c r="D36" s="234"/>
      <c r="G36" s="15"/>
    </row>
    <row r="37" spans="1:7">
      <c r="A37" s="172" t="s">
        <v>76</v>
      </c>
      <c r="B37" s="34" t="s">
        <v>111</v>
      </c>
      <c r="C37" s="168"/>
      <c r="D37" s="174"/>
      <c r="G37" s="15"/>
    </row>
    <row r="38" spans="1:7">
      <c r="A38" s="172" t="s">
        <v>77</v>
      </c>
      <c r="B38" s="33">
        <f>IF((B24-(B29-B18)*0.1)&lt;0,0,B24-(B29-B18)*0.1)</f>
        <v>66.399999999999991</v>
      </c>
      <c r="C38" s="168">
        <f>IF(ISERROR(B38/SUM($B$32,$B$34,$B$35,$B$36,$B$38,$B$39)*100),0,B38/SUM($B$32,$B$34,$B$35,$B$36,$B$38,$B$39)*100)</f>
        <v>1.5070358601906488</v>
      </c>
      <c r="D38" s="235"/>
      <c r="G38" s="15"/>
    </row>
    <row r="39" spans="1:7">
      <c r="A39" s="172" t="s">
        <v>78</v>
      </c>
      <c r="B39" s="33">
        <f>IF((B25-(B29-B18))&lt;0,0,B25-(B29-B18)*0.9)</f>
        <v>638.6</v>
      </c>
      <c r="C39" s="168">
        <f>IF(ISERROR(B39/SUM($B$32,$B$34,$B$35,$B$36,$B$38,$B$39)*100),0,B39/SUM($B$32,$B$34,$B$35,$B$36,$B$38,$B$39)*100)</f>
        <v>14.493871992737178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2689</v>
      </c>
      <c r="C44" s="34" t="s">
        <v>111</v>
      </c>
      <c r="D44" s="175"/>
    </row>
    <row r="45" spans="1:7">
      <c r="A45" s="172" t="s">
        <v>72</v>
      </c>
      <c r="B45" s="33" t="str">
        <f t="shared" si="0"/>
        <v>-</v>
      </c>
      <c r="C45" s="34" t="s">
        <v>111</v>
      </c>
      <c r="D45" s="175"/>
    </row>
    <row r="46" spans="1:7">
      <c r="A46" s="172" t="s">
        <v>73</v>
      </c>
      <c r="B46" s="33">
        <f t="shared" si="0"/>
        <v>267.45714285714291</v>
      </c>
      <c r="C46" s="34" t="s">
        <v>111</v>
      </c>
      <c r="D46" s="175"/>
    </row>
    <row r="47" spans="1:7">
      <c r="A47" s="172" t="s">
        <v>74</v>
      </c>
      <c r="B47" s="33">
        <f t="shared" si="0"/>
        <v>516.84285714285716</v>
      </c>
      <c r="C47" s="34" t="s">
        <v>111</v>
      </c>
      <c r="D47" s="175"/>
    </row>
    <row r="48" spans="1:7">
      <c r="A48" s="172" t="s">
        <v>75</v>
      </c>
      <c r="B48" s="33">
        <f t="shared" si="0"/>
        <v>227.70000000000005</v>
      </c>
      <c r="C48" s="33">
        <f>B48*10</f>
        <v>2277.0000000000005</v>
      </c>
      <c r="D48" s="235"/>
    </row>
    <row r="49" spans="1:6">
      <c r="A49" s="172" t="s">
        <v>76</v>
      </c>
      <c r="B49" s="33" t="str">
        <f t="shared" si="0"/>
        <v>-</v>
      </c>
      <c r="C49" s="34" t="s">
        <v>111</v>
      </c>
      <c r="D49" s="235"/>
    </row>
    <row r="50" spans="1:6">
      <c r="A50" s="172" t="s">
        <v>77</v>
      </c>
      <c r="B50" s="33">
        <f t="shared" si="0"/>
        <v>66.399999999999991</v>
      </c>
      <c r="C50" s="33">
        <f>B50*2</f>
        <v>132.79999999999998</v>
      </c>
      <c r="D50" s="235"/>
    </row>
    <row r="51" spans="1:6">
      <c r="A51" s="172" t="s">
        <v>78</v>
      </c>
      <c r="B51" s="33">
        <f t="shared" si="0"/>
        <v>638.6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14996.124396056184</v>
      </c>
      <c r="C5" s="17">
        <f>IF(ISERROR('Eigen informatie GS &amp; warmtenet'!B58),0,'Eigen informatie GS &amp; warmtenet'!B58)</f>
        <v>0</v>
      </c>
      <c r="D5" s="30">
        <f>SUM(D6:D12)</f>
        <v>11788.679682476115</v>
      </c>
      <c r="E5" s="17">
        <f>SUM(E6:E12)</f>
        <v>271.67270049510466</v>
      </c>
      <c r="F5" s="17">
        <f>SUM(F6:F12)</f>
        <v>2928.302770354504</v>
      </c>
      <c r="G5" s="18"/>
      <c r="H5" s="17"/>
      <c r="I5" s="17"/>
      <c r="J5" s="17">
        <f>SUM(J6:J12)</f>
        <v>0</v>
      </c>
      <c r="K5" s="17"/>
      <c r="L5" s="17"/>
      <c r="M5" s="17"/>
      <c r="N5" s="17">
        <f>SUM(N6:N12)</f>
        <v>488.59757283872568</v>
      </c>
      <c r="O5" s="17">
        <f>B38*B39*B40</f>
        <v>1.5633333333333335</v>
      </c>
      <c r="P5" s="17">
        <f>B46*B47*B48/1000-B46*B47*B48/1000/B49</f>
        <v>38.133333333333333</v>
      </c>
      <c r="R5" s="32"/>
    </row>
    <row r="6" spans="1:18">
      <c r="A6" s="32" t="s">
        <v>54</v>
      </c>
      <c r="B6" s="37">
        <f>B26</f>
        <v>1110.42740747217</v>
      </c>
      <c r="C6" s="33"/>
      <c r="D6" s="37">
        <f>IF(ISERROR(TER_kantoor_gas_kWh/1000),0,TER_kantoor_gas_kWh/1000)*0.902</f>
        <v>2043.018422718188</v>
      </c>
      <c r="E6" s="33">
        <f>$C$26*'E Balans VL '!I12/100/3.6*1000000</f>
        <v>38.869327401603783</v>
      </c>
      <c r="F6" s="33">
        <f>$C$26*('E Balans VL '!L12+'E Balans VL '!N12)/100/3.6*1000000</f>
        <v>168.36463561560254</v>
      </c>
      <c r="G6" s="34"/>
      <c r="H6" s="33"/>
      <c r="I6" s="33"/>
      <c r="J6" s="33">
        <f>$C$26*('E Balans VL '!D12+'E Balans VL '!E12)/100/3.6*1000000</f>
        <v>0</v>
      </c>
      <c r="K6" s="33"/>
      <c r="L6" s="33"/>
      <c r="M6" s="33"/>
      <c r="N6" s="33">
        <f>$C$26*'E Balans VL '!Y12/100/3.6*1000000</f>
        <v>8.5832563055464597</v>
      </c>
      <c r="O6" s="33"/>
      <c r="P6" s="33"/>
      <c r="R6" s="32"/>
    </row>
    <row r="7" spans="1:18">
      <c r="A7" s="32" t="s">
        <v>53</v>
      </c>
      <c r="B7" s="37">
        <f t="shared" ref="B7:B12" si="0">B27</f>
        <v>832.23908318000906</v>
      </c>
      <c r="C7" s="33"/>
      <c r="D7" s="37">
        <f>IF(ISERROR(TER_horeca_gas_kWh/1000),0,TER_horeca_gas_kWh/1000)*0.902</f>
        <v>1084.6001896812068</v>
      </c>
      <c r="E7" s="33">
        <f>$C$27*'E Balans VL '!I9/100/3.6*1000000</f>
        <v>46.949350376110516</v>
      </c>
      <c r="F7" s="33">
        <f>$C$27*('E Balans VL '!L9+'E Balans VL '!N9)/100/3.6*1000000</f>
        <v>144.9806539601779</v>
      </c>
      <c r="G7" s="34"/>
      <c r="H7" s="33"/>
      <c r="I7" s="33"/>
      <c r="J7" s="33">
        <f>$C$27*('E Balans VL '!D9+'E Balans VL '!E9)/100/3.6*1000000</f>
        <v>0</v>
      </c>
      <c r="K7" s="33"/>
      <c r="L7" s="33"/>
      <c r="M7" s="33"/>
      <c r="N7" s="33">
        <f>$C$27*'E Balans VL '!Y9/100/3.6*1000000</f>
        <v>0</v>
      </c>
      <c r="O7" s="33"/>
      <c r="P7" s="33"/>
      <c r="R7" s="32"/>
    </row>
    <row r="8" spans="1:18">
      <c r="A8" s="6" t="s">
        <v>52</v>
      </c>
      <c r="B8" s="37">
        <f t="shared" si="0"/>
        <v>3549.0797830239903</v>
      </c>
      <c r="C8" s="33"/>
      <c r="D8" s="37">
        <f>IF(ISERROR(TER_handel_gas_kWh/1000),0,TER_handel_gas_kWh/1000)*0.902</f>
        <v>1449.9736207053641</v>
      </c>
      <c r="E8" s="33">
        <f>$C$28*'E Balans VL '!I13/100/3.6*1000000</f>
        <v>18.220615024768858</v>
      </c>
      <c r="F8" s="33">
        <f>$C$28*('E Balans VL '!L13+'E Balans VL '!N13)/100/3.6*1000000</f>
        <v>547.21326363019148</v>
      </c>
      <c r="G8" s="34"/>
      <c r="H8" s="33"/>
      <c r="I8" s="33"/>
      <c r="J8" s="33">
        <f>$C$28*('E Balans VL '!D13+'E Balans VL '!E13)/100/3.6*1000000</f>
        <v>0</v>
      </c>
      <c r="K8" s="33"/>
      <c r="L8" s="33"/>
      <c r="M8" s="33"/>
      <c r="N8" s="33">
        <f>$C$28*'E Balans VL '!Y13/100/3.6*1000000</f>
        <v>1.6599479368704229</v>
      </c>
      <c r="O8" s="33"/>
      <c r="P8" s="33"/>
      <c r="R8" s="32"/>
    </row>
    <row r="9" spans="1:18">
      <c r="A9" s="32" t="s">
        <v>51</v>
      </c>
      <c r="B9" s="37">
        <f t="shared" si="0"/>
        <v>752.10461579728496</v>
      </c>
      <c r="C9" s="33"/>
      <c r="D9" s="37">
        <f>IF(ISERROR(TER_gezond_gas_kWh/1000),0,TER_gezond_gas_kWh/1000)*0.902</f>
        <v>444.86735105476754</v>
      </c>
      <c r="E9" s="33">
        <f>$C$29*'E Balans VL '!I10/100/3.6*1000000</f>
        <v>0.31174200695086945</v>
      </c>
      <c r="F9" s="33">
        <f>$C$29*('E Balans VL '!L10+'E Balans VL '!N10)/100/3.6*1000000</f>
        <v>185.23258025182639</v>
      </c>
      <c r="G9" s="34"/>
      <c r="H9" s="33"/>
      <c r="I9" s="33"/>
      <c r="J9" s="33">
        <f>$C$29*('E Balans VL '!D10+'E Balans VL '!E10)/100/3.6*1000000</f>
        <v>0</v>
      </c>
      <c r="K9" s="33"/>
      <c r="L9" s="33"/>
      <c r="M9" s="33"/>
      <c r="N9" s="33">
        <f>$C$29*'E Balans VL '!Y10/100/3.6*1000000</f>
        <v>6.5000454335143489</v>
      </c>
      <c r="O9" s="33"/>
      <c r="P9" s="33"/>
      <c r="R9" s="32"/>
    </row>
    <row r="10" spans="1:18">
      <c r="A10" s="32" t="s">
        <v>50</v>
      </c>
      <c r="B10" s="37">
        <f t="shared" si="0"/>
        <v>1125.3079461298501</v>
      </c>
      <c r="C10" s="33"/>
      <c r="D10" s="37">
        <f>IF(ISERROR(TER_ander_gas_kWh/1000),0,TER_ander_gas_kWh/1000)*0.902</f>
        <v>465.02973875535054</v>
      </c>
      <c r="E10" s="33">
        <f>$C$30*'E Balans VL '!I14/100/3.6*1000000</f>
        <v>6.8599050039900602</v>
      </c>
      <c r="F10" s="33">
        <f>$C$30*('E Balans VL '!L14+'E Balans VL '!N14)/100/3.6*1000000</f>
        <v>298.3345514892892</v>
      </c>
      <c r="G10" s="34"/>
      <c r="H10" s="33"/>
      <c r="I10" s="33"/>
      <c r="J10" s="33">
        <f>$C$30*('E Balans VL '!D14+'E Balans VL '!E14)/100/3.6*1000000</f>
        <v>0</v>
      </c>
      <c r="K10" s="33"/>
      <c r="L10" s="33"/>
      <c r="M10" s="33"/>
      <c r="N10" s="33">
        <f>$C$30*'E Balans VL '!Y14/100/3.6*1000000</f>
        <v>259.35916546798319</v>
      </c>
      <c r="O10" s="33"/>
      <c r="P10" s="33"/>
      <c r="R10" s="32"/>
    </row>
    <row r="11" spans="1:18">
      <c r="A11" s="32" t="s">
        <v>55</v>
      </c>
      <c r="B11" s="37">
        <f t="shared" si="0"/>
        <v>150.55251945171901</v>
      </c>
      <c r="C11" s="33"/>
      <c r="D11" s="37">
        <f>IF(ISERROR(TER_onderwijs_gas_kWh/1000),0,TER_onderwijs_gas_kWh/1000)*0.902</f>
        <v>0</v>
      </c>
      <c r="E11" s="33">
        <f>$C$31*'E Balans VL '!I11/100/3.6*1000000</f>
        <v>0.11472885917471526</v>
      </c>
      <c r="F11" s="33">
        <f>$C$31*('E Balans VL '!L11+'E Balans VL '!N11)/100/3.6*1000000</f>
        <v>108.94805369662026</v>
      </c>
      <c r="G11" s="34"/>
      <c r="H11" s="33"/>
      <c r="I11" s="33"/>
      <c r="J11" s="33">
        <f>$C$31*('E Balans VL '!D11+'E Balans VL '!E11)/100/3.6*1000000</f>
        <v>0</v>
      </c>
      <c r="K11" s="33"/>
      <c r="L11" s="33"/>
      <c r="M11" s="33"/>
      <c r="N11" s="33">
        <f>$C$31*'E Balans VL '!Y11/100/3.6*1000000</f>
        <v>0.44371425622071309</v>
      </c>
      <c r="O11" s="33"/>
      <c r="P11" s="33"/>
      <c r="R11" s="32"/>
    </row>
    <row r="12" spans="1:18">
      <c r="A12" s="32" t="s">
        <v>261</v>
      </c>
      <c r="B12" s="37">
        <f t="shared" si="0"/>
        <v>7476.4130410011594</v>
      </c>
      <c r="C12" s="33"/>
      <c r="D12" s="37">
        <f>IF(ISERROR(TER_rest_gas_kWh/1000),0,TER_rest_gas_kWh/1000)*0.902</f>
        <v>6301.1903595612384</v>
      </c>
      <c r="E12" s="33">
        <f>$C$32*'E Balans VL '!I8/100/3.6*1000000</f>
        <v>160.34703182250587</v>
      </c>
      <c r="F12" s="33">
        <f>$C$32*('E Balans VL '!L8+'E Balans VL '!N8)/100/3.6*1000000</f>
        <v>1475.2290317107963</v>
      </c>
      <c r="G12" s="34"/>
      <c r="H12" s="33"/>
      <c r="I12" s="33"/>
      <c r="J12" s="33">
        <f>$C$32*('E Balans VL '!D8+'E Balans VL '!E8)/100/3.6*1000000</f>
        <v>0</v>
      </c>
      <c r="K12" s="33"/>
      <c r="L12" s="33"/>
      <c r="M12" s="33"/>
      <c r="N12" s="33">
        <f>$C$32*'E Balans VL '!Y8/100/3.6*1000000</f>
        <v>212.05144343859061</v>
      </c>
      <c r="O12" s="33"/>
      <c r="P12" s="33"/>
      <c r="R12" s="32"/>
    </row>
    <row r="13" spans="1:18">
      <c r="A13" s="16" t="s">
        <v>497</v>
      </c>
      <c r="B13" s="248">
        <f ca="1">'lokale energieproductie'!N90+'lokale energieproductie'!N59</f>
        <v>4458</v>
      </c>
      <c r="C13" s="248">
        <f ca="1">'lokale energieproductie'!O90+'lokale energieproductie'!O59</f>
        <v>6368.5714285714284</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-12737.142857142859</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19454.124396056184</v>
      </c>
      <c r="C16" s="21">
        <f ca="1">C5+C13+C14</f>
        <v>6368.5714285714284</v>
      </c>
      <c r="D16" s="21">
        <f t="shared" ref="D16:N16" ca="1" si="1">MAX((D5+D13+D14),0)</f>
        <v>11788.679682476115</v>
      </c>
      <c r="E16" s="21">
        <f t="shared" si="1"/>
        <v>271.67270049510466</v>
      </c>
      <c r="F16" s="21">
        <f t="shared" ca="1" si="1"/>
        <v>2928.302770354504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0.19670065998084627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3826.6391080537337</v>
      </c>
      <c r="C20" s="23">
        <f t="shared" ref="C20:P20" ca="1" si="2">C16*C18</f>
        <v>0</v>
      </c>
      <c r="D20" s="23">
        <f t="shared" ca="1" si="2"/>
        <v>2381.3132958601755</v>
      </c>
      <c r="E20" s="23">
        <f t="shared" si="2"/>
        <v>61.669703012388759</v>
      </c>
      <c r="F20" s="23">
        <f t="shared" ca="1" si="2"/>
        <v>781.85683968465264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1110.42740747217</v>
      </c>
      <c r="C26" s="39">
        <f>IF(ISERROR(B26*3.6/1000000/'E Balans VL '!Z12*100),0,B26*3.6/1000000/'E Balans VL '!Z12*100)</f>
        <v>2.3367103285011074E-2</v>
      </c>
      <c r="D26" s="238" t="s">
        <v>720</v>
      </c>
      <c r="F26" s="6"/>
    </row>
    <row r="27" spans="1:18">
      <c r="A27" s="232" t="s">
        <v>53</v>
      </c>
      <c r="B27" s="33">
        <f>IF(ISERROR(TER_horeca_ele_kWh/1000),0,TER_horeca_ele_kWh/1000)</f>
        <v>832.23908318000906</v>
      </c>
      <c r="C27" s="39">
        <f>IF(ISERROR(B27*3.6/1000000/'E Balans VL '!Z9*100),0,B27*3.6/1000000/'E Balans VL '!Z9*100)</f>
        <v>7.0463344602684261E-2</v>
      </c>
      <c r="D27" s="238" t="s">
        <v>720</v>
      </c>
      <c r="F27" s="6"/>
    </row>
    <row r="28" spans="1:18">
      <c r="A28" s="172" t="s">
        <v>52</v>
      </c>
      <c r="B28" s="33">
        <f>IF(ISERROR(TER_handel_ele_kWh/1000),0,TER_handel_ele_kWh/1000)</f>
        <v>3549.0797830239903</v>
      </c>
      <c r="C28" s="39">
        <f>IF(ISERROR(B28*3.6/1000000/'E Balans VL '!Z13*100),0,B28*3.6/1000000/'E Balans VL '!Z13*100)</f>
        <v>9.825578302965364E-2</v>
      </c>
      <c r="D28" s="238" t="s">
        <v>720</v>
      </c>
      <c r="F28" s="6"/>
    </row>
    <row r="29" spans="1:18">
      <c r="A29" s="232" t="s">
        <v>51</v>
      </c>
      <c r="B29" s="33">
        <f>IF(ISERROR(TER_gezond_ele_kWh/1000),0,TER_gezond_ele_kWh/1000)</f>
        <v>752.10461579728496</v>
      </c>
      <c r="C29" s="39">
        <f>IF(ISERROR(B29*3.6/1000000/'E Balans VL '!Z10*100),0,B29*3.6/1000000/'E Balans VL '!Z10*100)</f>
        <v>9.7765262001849804E-2</v>
      </c>
      <c r="D29" s="238" t="s">
        <v>720</v>
      </c>
      <c r="F29" s="6"/>
    </row>
    <row r="30" spans="1:18">
      <c r="A30" s="232" t="s">
        <v>50</v>
      </c>
      <c r="B30" s="33">
        <f>IF(ISERROR(TER_ander_ele_kWh/1000),0,TER_ander_ele_kWh/1000)</f>
        <v>1125.3079461298501</v>
      </c>
      <c r="C30" s="39">
        <f>IF(ISERROR(B30*3.6/1000000/'E Balans VL '!Z14*100),0,B30*3.6/1000000/'E Balans VL '!Z14*100)</f>
        <v>8.7221685687274175E-2</v>
      </c>
      <c r="D30" s="238" t="s">
        <v>720</v>
      </c>
      <c r="F30" s="6"/>
    </row>
    <row r="31" spans="1:18">
      <c r="A31" s="232" t="s">
        <v>55</v>
      </c>
      <c r="B31" s="33">
        <f>IF(ISERROR(TER_onderwijs_ele_kWh/1000),0,TER_onderwijs_ele_kWh/1000)</f>
        <v>150.55251945171901</v>
      </c>
      <c r="C31" s="39">
        <f>IF(ISERROR(B31*3.6/1000000/'E Balans VL '!Z11*100),0,B31*3.6/1000000/'E Balans VL '!Z11*100)</f>
        <v>2.8803262331756771E-2</v>
      </c>
      <c r="D31" s="238" t="s">
        <v>720</v>
      </c>
    </row>
    <row r="32" spans="1:18">
      <c r="A32" s="232" t="s">
        <v>261</v>
      </c>
      <c r="B32" s="33">
        <f>IF(ISERROR(TER_rest_ele_kWh/1000),0,TER_rest_ele_kWh/1000)</f>
        <v>7476.4130410011594</v>
      </c>
      <c r="C32" s="39">
        <f>IF(ISERROR(B32*3.6/1000000/'E Balans VL '!Z8*100),0,B32*3.6/1000000/'E Balans VL '!Z8*100)</f>
        <v>6.1648766776985976E-2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16503.707096756931</v>
      </c>
      <c r="C5" s="17">
        <f>IF(ISERROR('Eigen informatie GS &amp; warmtenet'!B59),0,'Eigen informatie GS &amp; warmtenet'!B59)</f>
        <v>0</v>
      </c>
      <c r="D5" s="30">
        <f>SUM(D6:D15)</f>
        <v>12229.541555421136</v>
      </c>
      <c r="E5" s="17">
        <f>SUM(E6:E15)</f>
        <v>163.43230845713089</v>
      </c>
      <c r="F5" s="17">
        <f>SUM(F6:F15)</f>
        <v>4496.515443160235</v>
      </c>
      <c r="G5" s="18"/>
      <c r="H5" s="17"/>
      <c r="I5" s="17"/>
      <c r="J5" s="17">
        <f>SUM(J6:J15)</f>
        <v>110.523087632345</v>
      </c>
      <c r="K5" s="17"/>
      <c r="L5" s="17"/>
      <c r="M5" s="17"/>
      <c r="N5" s="17">
        <f>SUM(N6:N15)</f>
        <v>406.31358116991089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1407.7790510339701</v>
      </c>
      <c r="C8" s="33"/>
      <c r="D8" s="37">
        <f>IF( ISERROR(IND_metaal_Gas_kWH/1000),0,IND_metaal_Gas_kWH/1000)*0.902</f>
        <v>212.96476956637451</v>
      </c>
      <c r="E8" s="33">
        <f>C30*'E Balans VL '!I18/100/3.6*1000000</f>
        <v>9.8921527792575557</v>
      </c>
      <c r="F8" s="33">
        <f>C30*'E Balans VL '!L18/100/3.6*1000000+C30*'E Balans VL '!N18/100/3.6*1000000</f>
        <v>154.56590348539265</v>
      </c>
      <c r="G8" s="34"/>
      <c r="H8" s="33"/>
      <c r="I8" s="33"/>
      <c r="J8" s="40">
        <f>C30*'E Balans VL '!D18/100/3.6*1000000+C30*'E Balans VL '!E18/100/3.6*1000000</f>
        <v>29.045516138214772</v>
      </c>
      <c r="K8" s="33"/>
      <c r="L8" s="33"/>
      <c r="M8" s="33"/>
      <c r="N8" s="33">
        <f>C30*'E Balans VL '!Y18/100/3.6*1000000</f>
        <v>5.2764572714138254</v>
      </c>
      <c r="O8" s="33"/>
      <c r="P8" s="33"/>
      <c r="R8" s="32"/>
    </row>
    <row r="9" spans="1:18">
      <c r="A9" s="6" t="s">
        <v>33</v>
      </c>
      <c r="B9" s="37">
        <f t="shared" si="0"/>
        <v>2425.0483623608402</v>
      </c>
      <c r="C9" s="33"/>
      <c r="D9" s="37">
        <f>IF( ISERROR(IND_andere_gas_kWh/1000),0,IND_andere_gas_kWh/1000)*0.902</f>
        <v>1090.8613254611932</v>
      </c>
      <c r="E9" s="33">
        <f>C31*'E Balans VL '!I19/100/3.6*1000000</f>
        <v>40.731658024945901</v>
      </c>
      <c r="F9" s="33">
        <f>C31*'E Balans VL '!L19/100/3.6*1000000+C31*'E Balans VL '!N19/100/3.6*1000000</f>
        <v>1895.7646892521034</v>
      </c>
      <c r="G9" s="34"/>
      <c r="H9" s="33"/>
      <c r="I9" s="33"/>
      <c r="J9" s="40">
        <f>C31*'E Balans VL '!D19/100/3.6*1000000+C31*'E Balans VL '!E19/100/3.6*1000000</f>
        <v>0.21871795544961881</v>
      </c>
      <c r="K9" s="33"/>
      <c r="L9" s="33"/>
      <c r="M9" s="33"/>
      <c r="N9" s="33">
        <f>C31*'E Balans VL '!Y19/100/3.6*1000000</f>
        <v>179.73499012669251</v>
      </c>
      <c r="O9" s="33"/>
      <c r="P9" s="33"/>
      <c r="R9" s="32"/>
    </row>
    <row r="10" spans="1:18">
      <c r="A10" s="6" t="s">
        <v>41</v>
      </c>
      <c r="B10" s="37">
        <f t="shared" si="0"/>
        <v>309.77160061858405</v>
      </c>
      <c r="C10" s="33"/>
      <c r="D10" s="37">
        <f>IF( ISERROR(IND_voed_gas_kWh/1000),0,IND_voed_gas_kWh/1000)*0.902</f>
        <v>577.11650479957552</v>
      </c>
      <c r="E10" s="33">
        <f>C32*'E Balans VL '!I20/100/3.6*1000000</f>
        <v>2.8262273584615127</v>
      </c>
      <c r="F10" s="33">
        <f>C32*'E Balans VL '!L20/100/3.6*1000000+C32*'E Balans VL '!N20/100/3.6*1000000</f>
        <v>49.975848268419767</v>
      </c>
      <c r="G10" s="34"/>
      <c r="H10" s="33"/>
      <c r="I10" s="33"/>
      <c r="J10" s="40">
        <f>C32*'E Balans VL '!D20/100/3.6*1000000+C32*'E Balans VL '!E20/100/3.6*1000000</f>
        <v>1.2758425474395776</v>
      </c>
      <c r="K10" s="33"/>
      <c r="L10" s="33"/>
      <c r="M10" s="33"/>
      <c r="N10" s="33">
        <f>C32*'E Balans VL '!Y20/100/3.6*1000000</f>
        <v>4.53171425528733</v>
      </c>
      <c r="O10" s="33"/>
      <c r="P10" s="33"/>
      <c r="R10" s="32"/>
    </row>
    <row r="11" spans="1:18">
      <c r="A11" s="6" t="s">
        <v>40</v>
      </c>
      <c r="B11" s="37">
        <f t="shared" si="0"/>
        <v>423.50162903832597</v>
      </c>
      <c r="C11" s="33"/>
      <c r="D11" s="37">
        <f>IF( ISERROR(IND_textiel_gas_kWh/1000),0,IND_textiel_gas_kWh/1000)*0.902</f>
        <v>0</v>
      </c>
      <c r="E11" s="33">
        <f>C33*'E Balans VL '!I21/100/3.6*1000000</f>
        <v>0.9659286596429234</v>
      </c>
      <c r="F11" s="33">
        <f>C33*'E Balans VL '!L21/100/3.6*1000000+C33*'E Balans VL '!N21/100/3.6*1000000</f>
        <v>9.0527401166855501</v>
      </c>
      <c r="G11" s="34"/>
      <c r="H11" s="33"/>
      <c r="I11" s="33"/>
      <c r="J11" s="40">
        <f>C33*'E Balans VL '!D21/100/3.6*1000000+C33*'E Balans VL '!E21/100/3.6*1000000</f>
        <v>0</v>
      </c>
      <c r="K11" s="33"/>
      <c r="L11" s="33"/>
      <c r="M11" s="33"/>
      <c r="N11" s="33">
        <f>C33*'E Balans VL '!Y21/100/3.6*1000000</f>
        <v>3.0042634219854518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58.974779089208596</v>
      </c>
      <c r="C13" s="33"/>
      <c r="D13" s="37">
        <f>IF( ISERROR(IND_papier_gas_kWh/1000),0,IND_papier_gas_kWh/1000)*0.902</f>
        <v>111.53592468531957</v>
      </c>
      <c r="E13" s="33">
        <f>C35*'E Balans VL '!I23/100/3.6*1000000</f>
        <v>1.8145000421091773</v>
      </c>
      <c r="F13" s="33">
        <f>C35*'E Balans VL '!L23/100/3.6*1000000+C35*'E Balans VL '!N23/100/3.6*1000000</f>
        <v>12.522406647396593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11878.631674615999</v>
      </c>
      <c r="C15" s="33"/>
      <c r="D15" s="37">
        <f>IF( ISERROR(IND_rest_gas_kWh/1000),0,IND_rest_gas_kWh/1000)*0.902</f>
        <v>10237.063030908674</v>
      </c>
      <c r="E15" s="33">
        <f>C37*'E Balans VL '!I15/100/3.6*1000000</f>
        <v>107.20184159271379</v>
      </c>
      <c r="F15" s="33">
        <f>C37*'E Balans VL '!L15/100/3.6*1000000+C37*'E Balans VL '!N15/100/3.6*1000000</f>
        <v>2374.6338553902369</v>
      </c>
      <c r="G15" s="34"/>
      <c r="H15" s="33"/>
      <c r="I15" s="33"/>
      <c r="J15" s="40">
        <f>C37*'E Balans VL '!D15/100/3.6*1000000+C37*'E Balans VL '!E15/100/3.6*1000000</f>
        <v>79.983010991241031</v>
      </c>
      <c r="K15" s="33"/>
      <c r="L15" s="33"/>
      <c r="M15" s="33"/>
      <c r="N15" s="33">
        <f>C37*'E Balans VL '!Y15/100/3.6*1000000</f>
        <v>213.76615609453174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16503.707096756931</v>
      </c>
      <c r="C18" s="21">
        <f>C5+C16</f>
        <v>0</v>
      </c>
      <c r="D18" s="21">
        <f>MAX((D5+D16),0)</f>
        <v>12229.541555421136</v>
      </c>
      <c r="E18" s="21">
        <f>MAX((E5+E16),0)</f>
        <v>163.43230845713089</v>
      </c>
      <c r="F18" s="21">
        <f>MAX((F5+F16),0)</f>
        <v>4496.515443160235</v>
      </c>
      <c r="G18" s="21"/>
      <c r="H18" s="21"/>
      <c r="I18" s="21"/>
      <c r="J18" s="21">
        <f>MAX((J5+J16),0)</f>
        <v>110.523087632345</v>
      </c>
      <c r="K18" s="21"/>
      <c r="L18" s="21">
        <f>MAX((L5+L16),0)</f>
        <v>0</v>
      </c>
      <c r="M18" s="21"/>
      <c r="N18" s="21">
        <f>MAX((N5+N16),0)</f>
        <v>406.31358116991089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0.19670065998084627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3246.2900780626646</v>
      </c>
      <c r="C22" s="23">
        <f ca="1">C18*C20</f>
        <v>0</v>
      </c>
      <c r="D22" s="23">
        <f>D18*D20</f>
        <v>2470.3673941950697</v>
      </c>
      <c r="E22" s="23">
        <f>E18*E20</f>
        <v>37.099134019768712</v>
      </c>
      <c r="F22" s="23">
        <f>F18*F20</f>
        <v>1200.5696233237827</v>
      </c>
      <c r="G22" s="23"/>
      <c r="H22" s="23"/>
      <c r="I22" s="23"/>
      <c r="J22" s="23">
        <f>J18*J20</f>
        <v>39.125173021850124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1407.7790510339701</v>
      </c>
      <c r="C30" s="39">
        <f>IF(ISERROR(B30*3.6/1000000/'E Balans VL '!Z18*100),0,B30*3.6/1000000/'E Balans VL '!Z18*100)</f>
        <v>9.3716711089258109E-2</v>
      </c>
      <c r="D30" s="238" t="s">
        <v>720</v>
      </c>
    </row>
    <row r="31" spans="1:18">
      <c r="A31" s="6" t="s">
        <v>33</v>
      </c>
      <c r="B31" s="37">
        <f>IF( ISERROR(IND_ander_ele_kWh/1000),0,IND_ander_ele_kWh/1000)</f>
        <v>2425.0483623608402</v>
      </c>
      <c r="C31" s="39">
        <f>IF(ISERROR(B31*3.6/1000000/'E Balans VL '!Z19*100),0,B31*3.6/1000000/'E Balans VL '!Z19*100)</f>
        <v>0.10749278356568298</v>
      </c>
      <c r="D31" s="238" t="s">
        <v>720</v>
      </c>
    </row>
    <row r="32" spans="1:18">
      <c r="A32" s="172" t="s">
        <v>41</v>
      </c>
      <c r="B32" s="37">
        <f>IF( ISERROR(IND_voed_ele_kWh/1000),0,IND_voed_ele_kWh/1000)</f>
        <v>309.77160061858405</v>
      </c>
      <c r="C32" s="39">
        <f>IF(ISERROR(B32*3.6/1000000/'E Balans VL '!Z20*100),0,B32*3.6/1000000/'E Balans VL '!Z20*100)</f>
        <v>1.0347260080373016E-2</v>
      </c>
      <c r="D32" s="238" t="s">
        <v>720</v>
      </c>
    </row>
    <row r="33" spans="1:5">
      <c r="A33" s="172" t="s">
        <v>40</v>
      </c>
      <c r="B33" s="37">
        <f>IF( ISERROR(IND_textiel_ele_kWh/1000),0,IND_textiel_ele_kWh/1000)</f>
        <v>423.50162903832597</v>
      </c>
      <c r="C33" s="39">
        <f>IF(ISERROR(B33*3.6/1000000/'E Balans VL '!Z21*100),0,B33*3.6/1000000/'E Balans VL '!Z21*100)</f>
        <v>5.5754966074583093E-2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58.974779089208596</v>
      </c>
      <c r="C35" s="39">
        <f>IF(ISERROR(B35*3.6/1000000/'E Balans VL '!Z22*100),0,B35*3.6/1000000/'E Balans VL '!Z22*100)</f>
        <v>1.1469946731726022E-2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11878.631674615999</v>
      </c>
      <c r="C37" s="39">
        <f>IF(ISERROR(B37*3.6/1000000/'E Balans VL '!Z15*100),0,B37*3.6/1000000/'E Balans VL '!Z15*100)</f>
        <v>8.8357667712794227E-2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2940.9512585308739</v>
      </c>
      <c r="C5" s="17">
        <f>'Eigen informatie GS &amp; warmtenet'!B60</f>
        <v>0</v>
      </c>
      <c r="D5" s="30">
        <f>IF(ISERROR(SUM(LB_lb_gas_kWh,LB_rest_gas_kWh,onbekend_gas_kWh)/1000),0,SUM(LB_lb_gas_kWh,LB_rest_gas_kWh,onbekend_gas_kWh)/1000)*0.902</f>
        <v>2776.8747665970682</v>
      </c>
      <c r="E5" s="17">
        <f>B17*'E Balans VL '!I25/3.6*1000000/100</f>
        <v>30.798278269318722</v>
      </c>
      <c r="F5" s="17">
        <f>B17*('E Balans VL '!L25/3.6*1000000+'E Balans VL '!N25/3.6*1000000)/100</f>
        <v>15105.193934624473</v>
      </c>
      <c r="G5" s="18"/>
      <c r="H5" s="17"/>
      <c r="I5" s="17"/>
      <c r="J5" s="17">
        <f>('E Balans VL '!D25+'E Balans VL '!E25)/3.6*1000000*landbouw!B17/100</f>
        <v>262.65330758263326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2940.9512585308739</v>
      </c>
      <c r="C8" s="21">
        <f>C5+C6</f>
        <v>0</v>
      </c>
      <c r="D8" s="21">
        <f>MAX((D5+D6),0)</f>
        <v>2776.8747665970682</v>
      </c>
      <c r="E8" s="21">
        <f>MAX((E5+E6),0)</f>
        <v>30.798278269318722</v>
      </c>
      <c r="F8" s="21">
        <f>MAX((F5+F6),0)</f>
        <v>15105.193934624473</v>
      </c>
      <c r="G8" s="21"/>
      <c r="H8" s="21"/>
      <c r="I8" s="21"/>
      <c r="J8" s="21">
        <f>MAX((J5+J6),0)</f>
        <v>262.65330758263326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0.19670065998084627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578.48705352452328</v>
      </c>
      <c r="C12" s="23">
        <f ca="1">C8*C10</f>
        <v>0</v>
      </c>
      <c r="D12" s="23">
        <f>D8*D10</f>
        <v>560.92870285260778</v>
      </c>
      <c r="E12" s="23">
        <f>E8*E10</f>
        <v>6.9912091671353505</v>
      </c>
      <c r="F12" s="23">
        <f>F8*F10</f>
        <v>4033.0867805447342</v>
      </c>
      <c r="G12" s="23"/>
      <c r="H12" s="23"/>
      <c r="I12" s="23"/>
      <c r="J12" s="23">
        <f>J8*J10</f>
        <v>92.979270884252173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0.45266916953835568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313.43599686568808</v>
      </c>
      <c r="C26" s="248">
        <f>B26*'GWP N2O_CH4'!B5</f>
        <v>6582.15593417945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213.8998812678517</v>
      </c>
      <c r="C27" s="248">
        <f>B27*'GWP N2O_CH4'!B5</f>
        <v>4491.8975066248859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4.6919534045658633</v>
      </c>
      <c r="C28" s="248">
        <f>B28*'GWP N2O_CH4'!B4</f>
        <v>1454.5055554154176</v>
      </c>
      <c r="D28" s="50"/>
    </row>
    <row r="29" spans="1:4">
      <c r="A29" s="41" t="s">
        <v>278</v>
      </c>
      <c r="B29" s="248">
        <f>B34*'ha_N2O bodem landbouw'!B4</f>
        <v>22.915517845715101</v>
      </c>
      <c r="C29" s="248">
        <f>B29*'GWP N2O_CH4'!B4</f>
        <v>7103.8105321716812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3.787090289466328E-3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1.0459051833750029E-6</v>
      </c>
      <c r="C5" s="446" t="s">
        <v>212</v>
      </c>
      <c r="D5" s="431">
        <f>SUM(D6:D11)</f>
        <v>7.3230195118324946E-6</v>
      </c>
      <c r="E5" s="431">
        <f>SUM(E6:E11)</f>
        <v>7.0440813529385415E-4</v>
      </c>
      <c r="F5" s="444" t="s">
        <v>212</v>
      </c>
      <c r="G5" s="431">
        <f>SUM(G6:G11)</f>
        <v>0.10977509275034342</v>
      </c>
      <c r="H5" s="431">
        <f>SUM(H6:H11)</f>
        <v>2.3708852850557113E-2</v>
      </c>
      <c r="I5" s="446" t="s">
        <v>212</v>
      </c>
      <c r="J5" s="446" t="s">
        <v>212</v>
      </c>
      <c r="K5" s="446" t="s">
        <v>212</v>
      </c>
      <c r="L5" s="446" t="s">
        <v>212</v>
      </c>
      <c r="M5" s="431">
        <f>SUM(M6:M11)</f>
        <v>5.8372337996120153E-3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2.2373525666438222E-7</v>
      </c>
      <c r="C6" s="432"/>
      <c r="D6" s="432">
        <f>vkm_2011_GW_PW*SUMIFS(TableVerdeelsleutelVkm[CNG],TableVerdeelsleutelVkm[Voertuigtype],"Lichte voertuigen")*SUMIFS(TableECFTransport[EnergieConsumptieFactor (PJ per km)],TableECFTransport[Index],CONCATENATE($A6,"_CNG_CNG"))</f>
        <v>9.6449668452263148E-7</v>
      </c>
      <c r="E6" s="434">
        <f>vkm_2011_GW_PW*SUMIFS(TableVerdeelsleutelVkm[LPG],TableVerdeelsleutelVkm[Voertuigtype],"Lichte voertuigen")*SUMIFS(TableECFTransport[EnergieConsumptieFactor (PJ per km)],TableECFTransport[Index],CONCATENATE($A6,"_LPG_LPG"))</f>
        <v>1.0034996199713184E-4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1.2343320814279152E-2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3.2497405795147119E-3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6.833627062771808E-4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5.370186466022742E-3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1.8413625210494258E-6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2.3198199334760074E-4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8.2216992671062084E-7</v>
      </c>
      <c r="C8" s="432"/>
      <c r="D8" s="434">
        <f>vkm_2011_NGW_PW*SUMIFS(TableVerdeelsleutelVkm[CNG],TableVerdeelsleutelVkm[Voertuigtype],"Lichte voertuigen")*SUMIFS(TableECFTransport[EnergieConsumptieFactor (PJ per km)],TableECFTransport[Index],CONCATENATE($A8,"_CNG_CNG"))</f>
        <v>6.3585228273098634E-6</v>
      </c>
      <c r="E8" s="434">
        <f>vkm_2011_NGW_PW*SUMIFS(TableVerdeelsleutelVkm[LPG],TableVerdeelsleutelVkm[Voertuigtype],"Lichte voertuigen")*SUMIFS(TableECFTransport[EnergieConsumptieFactor (PJ per km)],TableECFTransport[Index],CONCATENATE($A8,"_LPG_LPG"))</f>
        <v>6.0405817329672233E-4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7.0472629924117014E-2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2.0450840125829376E-2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3.9893316303567577E-3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2.1588955545924507E-2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6.4307826919760728E-6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9.3255746963047653E-4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0.2905292176041675</v>
      </c>
      <c r="C14" s="21"/>
      <c r="D14" s="21">
        <f t="shared" ref="D14:M14" si="0">((D5)*10^9/3600)+D12</f>
        <v>2.0341720866201376</v>
      </c>
      <c r="E14" s="21">
        <f t="shared" si="0"/>
        <v>195.66892647051506</v>
      </c>
      <c r="F14" s="21"/>
      <c r="G14" s="21">
        <f t="shared" si="0"/>
        <v>30493.081319539837</v>
      </c>
      <c r="H14" s="21">
        <f t="shared" si="0"/>
        <v>6585.7924584880875</v>
      </c>
      <c r="I14" s="21"/>
      <c r="J14" s="21"/>
      <c r="K14" s="21"/>
      <c r="L14" s="21"/>
      <c r="M14" s="21">
        <f t="shared" si="0"/>
        <v>1621.4538332255599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0.19670065998084627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5.7147288846458644E-2</v>
      </c>
      <c r="C18" s="23"/>
      <c r="D18" s="23">
        <f t="shared" ref="D18:M18" si="1">D14*D16</f>
        <v>0.41090276149726784</v>
      </c>
      <c r="E18" s="23">
        <f t="shared" si="1"/>
        <v>44.416846308806917</v>
      </c>
      <c r="F18" s="23"/>
      <c r="G18" s="23">
        <f t="shared" si="1"/>
        <v>8141.6527123171372</v>
      </c>
      <c r="H18" s="23">
        <f t="shared" si="1"/>
        <v>1639.8623221635337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4.9185316196868126E-3</v>
      </c>
      <c r="H50" s="322">
        <f t="shared" si="2"/>
        <v>0</v>
      </c>
      <c r="I50" s="322">
        <f t="shared" si="2"/>
        <v>0</v>
      </c>
      <c r="J50" s="322">
        <f t="shared" si="2"/>
        <v>0</v>
      </c>
      <c r="K50" s="322">
        <f t="shared" si="2"/>
        <v>0</v>
      </c>
      <c r="L50" s="322">
        <f t="shared" si="2"/>
        <v>0</v>
      </c>
      <c r="M50" s="322">
        <f t="shared" si="2"/>
        <v>2.0965563450188403E-4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4.9185316196868126E-3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2.0965563450188403E-4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1366.2587832463366</v>
      </c>
      <c r="H54" s="21">
        <f t="shared" si="3"/>
        <v>0</v>
      </c>
      <c r="I54" s="21">
        <f t="shared" si="3"/>
        <v>0</v>
      </c>
      <c r="J54" s="21">
        <f t="shared" si="3"/>
        <v>0</v>
      </c>
      <c r="K54" s="21">
        <f t="shared" si="3"/>
        <v>0</v>
      </c>
      <c r="L54" s="21">
        <f t="shared" si="3"/>
        <v>0</v>
      </c>
      <c r="M54" s="21">
        <f t="shared" si="3"/>
        <v>58.237676250523343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0.19670065998084627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364.79109512677189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1927.4118122092377</v>
      </c>
      <c r="C6" s="1181"/>
      <c r="D6" s="1184"/>
      <c r="E6" s="1184"/>
      <c r="F6" s="1187"/>
      <c r="G6" s="1190"/>
      <c r="H6" s="1178"/>
      <c r="I6" s="1184"/>
      <c r="J6" s="1184"/>
      <c r="K6" s="1184"/>
      <c r="L6" s="1214"/>
      <c r="M6" s="559"/>
      <c r="N6" s="1226"/>
      <c r="O6" s="1227"/>
      <c r="Q6" s="557"/>
      <c r="R6" s="1211"/>
      <c r="S6" s="1211"/>
    </row>
    <row r="7" spans="1:19" s="547" customFormat="1">
      <c r="A7" s="560" t="s">
        <v>253</v>
      </c>
      <c r="B7" s="561">
        <f>N57</f>
        <v>4458</v>
      </c>
      <c r="C7" s="562">
        <f>B100</f>
        <v>0</v>
      </c>
      <c r="D7" s="563"/>
      <c r="E7" s="563">
        <f>E100</f>
        <v>0</v>
      </c>
      <c r="F7" s="564"/>
      <c r="G7" s="565"/>
      <c r="H7" s="563">
        <f>I100</f>
        <v>0</v>
      </c>
      <c r="I7" s="563">
        <f>G100+F100</f>
        <v>0</v>
      </c>
      <c r="J7" s="563">
        <f>H100+D100+C100</f>
        <v>5244.7058823529424</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6385.4118122092377</v>
      </c>
      <c r="C9" s="578">
        <f t="shared" ref="C9:L9" si="0">SUM(C7:C8)</f>
        <v>0</v>
      </c>
      <c r="D9" s="578">
        <f t="shared" si="0"/>
        <v>0</v>
      </c>
      <c r="E9" s="578">
        <f t="shared" si="0"/>
        <v>0</v>
      </c>
      <c r="F9" s="578">
        <f t="shared" si="0"/>
        <v>0</v>
      </c>
      <c r="G9" s="578">
        <f t="shared" si="0"/>
        <v>0</v>
      </c>
      <c r="H9" s="578">
        <f t="shared" si="0"/>
        <v>0</v>
      </c>
      <c r="I9" s="578">
        <f t="shared" si="0"/>
        <v>0</v>
      </c>
      <c r="J9" s="578">
        <f t="shared" si="0"/>
        <v>5244.7058823529424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6368.5714285714284</v>
      </c>
      <c r="C16" s="594">
        <f>B101</f>
        <v>0</v>
      </c>
      <c r="D16" s="595"/>
      <c r="E16" s="595">
        <f>E101</f>
        <v>0</v>
      </c>
      <c r="F16" s="596"/>
      <c r="G16" s="597"/>
      <c r="H16" s="594">
        <f>I101</f>
        <v>0</v>
      </c>
      <c r="I16" s="595">
        <f>G101+F101</f>
        <v>0</v>
      </c>
      <c r="J16" s="595">
        <f>H101+D101+C101</f>
        <v>7492.4369747899173</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6368.5714285714284</v>
      </c>
      <c r="C19" s="577">
        <f>SUM(C16:C18)</f>
        <v>0</v>
      </c>
      <c r="D19" s="577">
        <f t="shared" ref="D19:M19" si="1">SUM(D16:D18)</f>
        <v>0</v>
      </c>
      <c r="E19" s="577">
        <f t="shared" si="1"/>
        <v>0</v>
      </c>
      <c r="F19" s="577">
        <f t="shared" si="1"/>
        <v>0</v>
      </c>
      <c r="G19" s="577">
        <f t="shared" si="1"/>
        <v>0</v>
      </c>
      <c r="H19" s="577">
        <f t="shared" si="1"/>
        <v>0</v>
      </c>
      <c r="I19" s="577">
        <f t="shared" si="1"/>
        <v>0</v>
      </c>
      <c r="J19" s="577">
        <f t="shared" si="1"/>
        <v>7492.4369747899173</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36012</v>
      </c>
      <c r="C27" s="839">
        <v>8890</v>
      </c>
      <c r="D27" s="656" t="s">
        <v>931</v>
      </c>
      <c r="E27" s="655" t="s">
        <v>932</v>
      </c>
      <c r="F27" s="655" t="s">
        <v>933</v>
      </c>
      <c r="G27" s="655" t="s">
        <v>934</v>
      </c>
      <c r="H27" s="655" t="s">
        <v>935</v>
      </c>
      <c r="I27" s="655" t="s">
        <v>936</v>
      </c>
      <c r="J27" s="838">
        <v>40634</v>
      </c>
      <c r="K27" s="838">
        <v>40634</v>
      </c>
      <c r="L27" s="655" t="s">
        <v>937</v>
      </c>
      <c r="M27" s="655">
        <v>1486</v>
      </c>
      <c r="N27" s="655">
        <v>4458</v>
      </c>
      <c r="O27" s="655">
        <v>6368.5714285714284</v>
      </c>
      <c r="P27" s="655">
        <v>0</v>
      </c>
      <c r="Q27" s="655">
        <v>12737.142857142859</v>
      </c>
      <c r="R27" s="655">
        <v>0</v>
      </c>
      <c r="S27" s="655">
        <v>0</v>
      </c>
      <c r="T27" s="655">
        <v>0</v>
      </c>
      <c r="U27" s="655">
        <v>0</v>
      </c>
      <c r="V27" s="655">
        <v>0</v>
      </c>
      <c r="W27" s="655">
        <v>0</v>
      </c>
      <c r="X27" s="655">
        <v>1500</v>
      </c>
      <c r="Y27" s="655" t="s">
        <v>51</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1486</v>
      </c>
      <c r="N57" s="613">
        <f>SUM(N27:N56)</f>
        <v>4458</v>
      </c>
      <c r="O57" s="613">
        <f t="shared" ref="O57:W57" si="2">SUM(O27:O56)</f>
        <v>6368.5714285714284</v>
      </c>
      <c r="P57" s="613">
        <f t="shared" si="2"/>
        <v>0</v>
      </c>
      <c r="Q57" s="613">
        <f t="shared" si="2"/>
        <v>12737.142857142859</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1486</v>
      </c>
      <c r="N59" s="613">
        <f ca="1">SUMIF($Z$27:AB56,"tertiair",N27:N56)</f>
        <v>4458</v>
      </c>
      <c r="O59" s="613">
        <f ca="1">SUMIF($Z$27:AC56,"tertiair",O27:O56)</f>
        <v>6368.5714285714284</v>
      </c>
      <c r="P59" s="613">
        <f ca="1">SUMIF($Z$27:AD56,"tertiair",P27:P56)</f>
        <v>0</v>
      </c>
      <c r="Q59" s="613">
        <f ca="1">SUMIF($Z$27:AE56,"tertiair",Q27:Q56)</f>
        <v>12737.142857142859</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5244.7058823529424</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7492.4369747899173</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2018-12-05T15:57:05Z</dcterms:modified>
</cp:coreProperties>
</file>