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E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D16" i="16" l="1"/>
  <c r="C97" i="18"/>
  <c r="I100" s="1"/>
  <c r="H7" s="1"/>
  <c r="I67" i="14" s="1"/>
  <c r="F13" i="15"/>
  <c r="D6" i="17"/>
  <c r="H68" i="14"/>
  <c r="C18" i="16"/>
  <c r="C8" i="48" s="1"/>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F8" i="17"/>
  <c r="G22" i="14" s="1"/>
  <c r="D100" i="18"/>
  <c r="E9" i="14"/>
  <c r="J9"/>
  <c r="J15" s="1"/>
  <c r="N9"/>
  <c r="N15" s="1"/>
  <c r="I11" i="48"/>
  <c r="M11"/>
  <c r="M19" i="19"/>
  <c r="N35" i="14" s="1"/>
  <c r="J7" i="15"/>
  <c r="O5" i="16"/>
  <c r="B7" i="18"/>
  <c r="B67" i="14" s="1"/>
  <c r="C80"/>
  <c r="C16" i="15"/>
  <c r="D10" i="14" s="1"/>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E22" i="14" l="1"/>
  <c r="G31" i="20"/>
  <c r="H43" i="14" s="1"/>
  <c r="E101" i="18"/>
  <c r="E16" s="1"/>
  <c r="F78" i="14" s="1"/>
  <c r="O78" s="1"/>
  <c r="F101" i="18"/>
  <c r="D13" i="14"/>
  <c r="J12" i="17"/>
  <c r="K48" i="14" s="1"/>
  <c r="H100" i="18"/>
  <c r="C100"/>
  <c r="D101"/>
  <c r="H101"/>
  <c r="H19"/>
  <c r="G13" i="48"/>
  <c r="G30" s="1"/>
  <c r="H17" i="14"/>
  <c r="B100" i="18"/>
  <c r="C7" s="1"/>
  <c r="G100"/>
  <c r="I7" s="1"/>
  <c r="G101"/>
  <c r="I16" s="1"/>
  <c r="D16" i="15"/>
  <c r="E9" i="18"/>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J78" i="14" l="1"/>
  <c r="I19" i="18"/>
  <c r="E7" i="48"/>
  <c r="E24" s="1"/>
  <c r="F81" i="14"/>
  <c r="C9" i="18"/>
  <c r="D67" i="14"/>
  <c r="O81"/>
  <c r="B17" i="6" s="1"/>
  <c r="Q15" i="14"/>
  <c r="Q23" s="1"/>
  <c r="Q13" i="48"/>
  <c r="E12" i="17"/>
  <c r="F48" i="14" s="1"/>
  <c r="J16" i="18"/>
  <c r="C14" i="48"/>
  <c r="R17" i="14"/>
  <c r="M16" i="18"/>
  <c r="M19"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J81" i="14" l="1"/>
  <c r="E5" i="48"/>
  <c r="E22" s="1"/>
  <c r="D69" i="14"/>
  <c r="O67"/>
  <c r="K78"/>
  <c r="K81" s="1"/>
  <c r="J19" i="18"/>
  <c r="D14" i="48"/>
  <c r="F10" i="14"/>
  <c r="R10" s="1"/>
  <c r="N19"/>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N22" i="16"/>
  <c r="O39" i="14" s="1"/>
  <c r="O41" s="1"/>
  <c r="F8" i="48"/>
  <c r="Q4"/>
  <c r="N22"/>
  <c r="R11" i="14"/>
  <c r="J21" i="48"/>
  <c r="K13" i="14" l="1"/>
  <c r="K15" s="1"/>
  <c r="K23" s="1"/>
  <c r="C78"/>
  <c r="C81" s="1"/>
  <c r="O13"/>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<sst xmlns="http://schemas.openxmlformats.org/spreadsheetml/2006/main" count="2216" uniqueCount="931">
  <si>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</si>
  <si>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</si>
  <si>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</si>
  <si>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</si>
  <si>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</si>
  <si>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</si>
  <si>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</si>
  <si>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</si>
  <si>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</si>
  <si>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</si>
  <si>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</si>
  <si>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</si>
  <si>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</si>
  <si>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</si>
  <si>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</si>
  <si>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</si>
  <si>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</si>
  <si>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</si>
  <si>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</si>
  <si>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</si>
  <si>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</si>
  <si>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</si>
  <si>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</si>
  <si>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</si>
  <si>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</si>
  <si>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</si>
  <si>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</si>
  <si>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</si>
  <si>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</si>
  <si>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</si>
  <si>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</si>
  <si>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</si>
  <si>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</si>
  <si>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</si>
  <si>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</si>
  <si>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</si>
  <si>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</si>
  <si>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</si>
  <si>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</si>
  <si>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</si>
  <si>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</si>
  <si>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</si>
  <si>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</si>
  <si>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</si>
  <si>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</si>
  <si>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</si>
  <si>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</si>
  <si>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</si>
  <si>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</si>
  <si>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</si>
  <si>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</si>
  <si>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</si>
  <si>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</si>
  <si>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</si>
  <si>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</si>
  <si>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</si>
  <si>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</si>
  <si>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</si>
  <si>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</si>
  <si>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</si>
  <si>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</si>
  <si>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</si>
  <si>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</si>
  <si>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</si>
  <si>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</si>
  <si>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</si>
  <si>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</si>
  <si>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</si>
  <si>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</si>
  <si>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</si>
  <si>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</si>
  <si>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</si>
  <si>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</si>
  <si>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</si>
  <si>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</si>
  <si>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</si>
  <si>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</si>
  <si>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</si>
  <si>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</si>
  <si>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</si>
  <si>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</si>
  <si>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</si>
  <si>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</si>
  <si>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</si>
  <si>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</si>
  <si>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</si>
  <si>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</si>
  <si>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</si>
  <si>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</si>
  <si>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</si>
  <si>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</si>
  <si>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</si>
  <si>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</si>
  <si>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</si>
  <si>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</si>
  <si>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</si>
  <si>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</si>
  <si>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</si>
  <si>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</si>
  <si>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</si>
  <si>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</si>
  <si>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</si>
  <si>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</si>
  <si>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</si>
  <si>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</si>
  <si>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</si>
  <si>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</si>
  <si>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</si>
  <si>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</si>
  <si>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</si>
  <si>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</si>
  <si>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</si>
  <si>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</si>
  <si>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</si>
  <si>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</si>
  <si>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</si>
  <si>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</si>
  <si>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</si>
  <si>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</si>
  <si>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</si>
  <si>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</si>
  <si>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</si>
  <si>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</si>
  <si>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</si>
  <si>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</si>
  <si>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</si>
  <si>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</si>
  <si>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</si>
  <si>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</si>
  <si>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</si>
  <si>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</si>
  <si>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</si>
  <si>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</si>
  <si>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</si>
  <si>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</si>
  <si>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</si>
  <si>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</si>
  <si>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</si>
  <si>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</si>
  <si>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</si>
  <si>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</si>
  <si>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</si>
  <si>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</si>
  <si>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</si>
  <si>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</si>
  <si>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</si>
  <si>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</si>
  <si>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</si>
  <si>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</si>
  <si>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</si>
  <si>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</si>
  <si>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</si>
  <si>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</si>
  <si>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</si>
  <si>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</si>
  <si>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</si>
  <si>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</si>
  <si>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</si>
  <si>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</si>
  <si>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</si>
  <si>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</si>
  <si>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</si>
  <si>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</si>
  <si>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</si>
  <si>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</si>
  <si>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</si>
  <si>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</si>
  <si>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</si>
  <si>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</si>
  <si>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</si>
  <si>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</si>
  <si>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</si>
  <si>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</si>
  <si>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</si>
  <si>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</si>
  <si>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</si>
  <si>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</si>
  <si>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</si>
  <si>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</si>
  <si>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</si>
  <si>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</si>
  <si>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</si>
  <si>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</si>
  <si>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</si>
  <si>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</si>
  <si>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</si>
  <si>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</si>
  <si>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</si>
  <si>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</si>
  <si>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</si>
  <si>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</si>
  <si>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</si>
  <si>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</si>
  <si>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</si>
  <si>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</si>
  <si>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</si>
  <si>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</si>
  <si>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</si>
  <si>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</si>
  <si>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</si>
  <si>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</si>
  <si>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</si>
  <si>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</si>
  <si>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</si>
  <si>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</si>
  <si>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</si>
  <si>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</si>
  <si>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</si>
  <si>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</si>
  <si>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</si>
  <si>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</si>
  <si>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</si>
  <si>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</si>
  <si>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</si>
  <si>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</si>
  <si>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</si>
  <si>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</si>
  <si>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</si>
  <si>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</si>
  <si>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</si>
  <si>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</si>
  <si>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</si>
  <si>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</si>
  <si>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</si>
  <si>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</si>
  <si>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</si>
  <si>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</si>
  <si>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</si>
  <si>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</si>
  <si>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</si>
  <si>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</si>
  <si>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</si>
  <si>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</si>
  <si>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</si>
  <si>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</si>
  <si>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</si>
  <si>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</si>
  <si>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</si>
  <si>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</si>
  <si>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</si>
  <si>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</si>
  <si>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</si>
  <si>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</si>
  <si>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</si>
  <si>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</si>
  <si>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</si>
  <si>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</si>
  <si>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</si>
  <si>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</si>
  <si>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</si>
  <si>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</si>
  <si>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</si>
  <si>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</si>
  <si>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</si>
  <si>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</si>
  <si>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</si>
  <si>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</si>
  <si>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</si>
  <si>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</si>
  <si>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</si>
  <si>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</si>
  <si>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</si>
  <si>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</si>
  <si>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</si>
  <si>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</si>
  <si>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</si>
  <si>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</si>
  <si>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</si>
  <si>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</si>
  <si>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</si>
  <si>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</si>
  <si>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</si>
  <si>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</si>
  <si>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</si>
  <si>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</si>
  <si>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</si>
  <si>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</si>
  <si>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</si>
  <si>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</si>
  <si>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</si>
  <si>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</si>
  <si>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</si>
  <si>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</si>
  <si>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</si>
  <si>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</si>
  <si>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</si>
  <si>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</si>
  <si>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</si>
  <si>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</si>
  <si>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</si>
  <si>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</si>
  <si>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</si>
  <si>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</si>
  <si>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</si>
  <si>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</si>
  <si>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</si>
  <si>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</si>
  <si>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</si>
  <si>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</si>
  <si>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</si>
  <si>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</si>
  <si>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</si>
  <si>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</si>
  <si>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</si>
  <si>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</si>
  <si>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</si>
  <si>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</si>
  <si>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</si>
  <si>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</si>
  <si>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</si>
  <si>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</si>
  <si>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</si>
  <si>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</si>
  <si>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</si>
  <si>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</si>
  <si>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</si>
  <si>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</si>
  <si>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</si>
  <si>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</si>
  <si>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</si>
  <si>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</si>
  <si>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</si>
  <si>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</si>
  <si>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</si>
  <si>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</si>
  <si>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</si>
  <si>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</si>
  <si>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</si>
  <si>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</si>
  <si>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</si>
  <si>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</si>
  <si>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</si>
  <si>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</si>
  <si>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</si>
  <si>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</si>
  <si>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</si>
  <si>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</si>
  <si>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</si>
  <si>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</si>
  <si>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</si>
  <si>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</si>
  <si>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</si>
  <si>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</si>
  <si>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</si>
  <si>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</si>
  <si>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</si>
  <si>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</si>
  <si>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</si>
  <si>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</si>
  <si>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</si>
  <si>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</si>
  <si>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</si>
  <si>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</si>
  <si>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</si>
  <si>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</si>
  <si>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</si>
  <si>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</si>
  <si>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</si>
  <si>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</si>
  <si>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</si>
  <si>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</si>
  <si>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</si>
  <si>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</si>
  <si>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</si>
  <si>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</si>
  <si>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</si>
  <si>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</si>
  <si>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</si>
  <si>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</si>
  <si>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</si>
  <si>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</si>
  <si>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</si>
  <si>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</si>
  <si>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</si>
  <si>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</si>
  <si>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</si>
  <si>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</si>
  <si>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</si>
  <si>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</si>
  <si>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</si>
  <si>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</si>
  <si>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</si>
  <si>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</si>
  <si>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</si>
  <si>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</si>
  <si>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</si>
  <si>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</si>
  <si>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</si>
  <si>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</si>
  <si>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</si>
  <si>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</si>
  <si>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</si>
  <si>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</si>
  <si>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</si>
  <si>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</si>
  <si>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</si>
  <si>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</si>
  <si>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</si>
  <si>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</si>
  <si>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</si>
  <si>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</si>
  <si>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</si>
  <si>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</si>
  <si>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</si>
  <si>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</si>
  <si>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</si>
  <si>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</si>
  <si>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</si>
  <si>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</si>
  <si>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</si>
  <si>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</si>
  <si>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</si>
  <si>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</si>
  <si>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</si>
  <si>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</si>
  <si>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</si>
  <si>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</si>
  <si>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</si>
  <si>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</si>
  <si>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</si>
  <si>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</si>
  <si>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</si>
  <si>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</si>
  <si>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</si>
  <si>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</si>
  <si>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</si>
  <si>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</si>
  <si>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</si>
  <si>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</si>
  <si>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</si>
  <si>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</si>
  <si>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</si>
  <si>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</si>
  <si>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</si>
  <si>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</si>
  <si>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</si>
  <si>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</si>
  <si>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</si>
  <si>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</si>
  <si>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</si>
  <si>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</si>
  <si>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</si>
  <si>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</si>
  <si>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</si>
  <si>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</si>
  <si>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</si>
  <si>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</si>
  <si>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</si>
  <si>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</si>
  <si>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</si>
  <si>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</si>
  <si>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</si>
  <si>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</si>
  <si>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</si>
  <si>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</si>
  <si>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</si>
  <si>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</si>
  <si>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</si>
  <si>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</si>
  <si>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</si>
  <si>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</si>
  <si>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</si>
  <si>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</si>
  <si>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</si>
  <si>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</si>
  <si>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</si>
  <si>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</si>
  <si>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</si>
  <si>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</si>
  <si>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</si>
  <si>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</si>
  <si>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</si>
  <si>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</si>
  <si>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</si>
  <si>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</si>
  <si>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</si>
  <si>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</si>
  <si>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</si>
  <si>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</si>
  <si>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</si>
  <si>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</si>
  <si>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</si>
  <si>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</si>
  <si>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</si>
  <si>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</si>
  <si>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</si>
  <si>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</si>
  <si>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</si>
  <si>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</si>
  <si>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</si>
  <si>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</si>
  <si>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</si>
  <si>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</si>
  <si>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</si>
  <si>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</si>
  <si>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</si>
  <si>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</si>
  <si>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</si>
  <si>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</si>
  <si>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</si>
  <si>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</si>
  <si>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</si>
  <si>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</si>
  <si>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</si>
  <si>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</si>
  <si>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</si>
  <si>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</si>
  <si>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</si>
  <si>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</si>
  <si>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</si>
  <si>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</si>
  <si>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</si>
  <si>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</si>
  <si>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</si>
  <si>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</si>
  <si>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</si>
  <si>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</si>
  <si>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</si>
  <si>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</si>
  <si>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</si>
  <si>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</si>
  <si>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</si>
  <si>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</si>
  <si>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</si>
  <si>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</si>
  <si>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</si>
  <si>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</si>
  <si>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</si>
  <si>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</si>
  <si>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</si>
  <si>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</si>
  <si>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</si>
  <si>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</si>
  <si>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</si>
  <si>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</si>
  <si>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</si>
  <si>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</si>
  <si>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</si>
  <si>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</si>
  <si>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</si>
  <si>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</si>
  <si>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</si>
  <si>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</si>
  <si>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</si>
  <si>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</si>
  <si>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</si>
  <si>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</si>
  <si>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</si>
  <si>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</si>
  <si>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</si>
  <si>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</si>
  <si>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</si>
  <si>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</si>
  <si>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</si>
  <si>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</si>
  <si>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</si>
  <si>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</si>
  <si>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</si>
  <si>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</si>
  <si>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</si>
  <si>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</si>
  <si>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</si>
  <si>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</si>
  <si>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</si>
  <si>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</si>
  <si>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</si>
  <si>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</si>
  <si>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</si>
  <si>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</si>
  <si>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</si>
  <si>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</si>
  <si>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</si>
  <si>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</si>
  <si>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</si>
  <si>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</si>
  <si>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</si>
  <si>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</si>
  <si>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</si>
  <si>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</si>
  <si>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</si>
  <si>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</si>
  <si>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</si>
  <si>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</si>
  <si>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</si>
  <si>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</si>
  <si>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</si>
  <si>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</si>
  <si>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</si>
  <si>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</si>
  <si>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</si>
  <si>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</si>
  <si>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</si>
  <si>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</si>
  <si>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</si>
  <si>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</si>
  <si>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</si>
  <si>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</si>
  <si>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</si>
  <si>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</si>
  <si>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</si>
  <si>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</si>
  <si>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</si>
  <si>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</si>
  <si>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</si>
  <si>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</si>
  <si>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</si>
  <si>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</si>
  <si>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</si>
  <si>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</si>
  <si>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</si>
  <si>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</si>
  <si>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</si>
  <si>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</si>
  <si>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</si>
  <si>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</si>
  <si>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</si>
  <si>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</si>
  <si>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</si>
  <si>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</si>
  <si>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</si>
  <si>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</si>
  <si>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</si>
  <si>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</si>
  <si>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</si>
  <si>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</si>
  <si>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</si>
  <si>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</si>
  <si>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</si>
  <si>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</si>
  <si>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</si>
  <si>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</si>
  <si>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</si>
  <si>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</si>
  <si>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</si>
  <si>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</si>
  <si>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</si>
  <si>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</si>
  <si>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</si>
  <si>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</si>
  <si>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</si>
  <si>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</si>
  <si>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</si>
  <si>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</si>
  <si>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</si>
  <si>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</si>
  <si>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</si>
  <si>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</si>
  <si>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</si>
  <si>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</si>
  <si>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</si>
  <si>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</si>
  <si>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</si>
  <si>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</si>
  <si>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</si>
  <si>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</si>
  <si>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</si>
  <si>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</si>
  <si>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</si>
  <si>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</si>
  <si>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</si>
  <si>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</si>
  <si>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</si>
  <si>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</si>
  <si>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</si>
  <si>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</si>
  <si>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</si>
  <si>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</si>
  <si>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</si>
  <si>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</si>
  <si>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</si>
  <si>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</si>
  <si>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</si>
  <si>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</si>
  <si>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</si>
  <si>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</si>
  <si>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</si>
  <si>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</si>
  <si>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</si>
  <si>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</si>
  <si>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</si>
  <si>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</si>
  <si>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</si>
  <si>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</si>
  <si>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</si>
  <si>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</si>
  <si>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</si>
  <si>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</si>
  <si>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</si>
  <si>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</si>
  <si>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</si>
  <si>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</si>
  <si>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</si>
  <si>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</si>
  <si>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</si>
  <si>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</si>
  <si>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</si>
  <si>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</si>
  <si>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</si>
  <si>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</si>
  <si>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</si>
  <si>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</si>
  <si>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</si>
  <si>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</si>
  <si>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</si>
  <si>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</si>
  <si>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</si>
  <si>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</si>
  <si>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</si>
  <si>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</si>
  <si>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</si>
  <si>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</si>
  <si>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</si>
  <si>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</si>
  <si>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</si>
  <si>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</si>
  <si>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</si>
  <si>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</si>
  <si>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</si>
  <si>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</si>
  <si>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</si>
  <si>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</si>
  <si>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</si>
  <si>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</si>
  <si>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</si>
  <si>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</si>
  <si>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</si>
  <si>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</si>
  <si>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</si>
  <si>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</si>
  <si>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</si>
  <si>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</si>
  <si>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</si>
  <si>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</si>
  <si>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</si>
  <si>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</si>
  <si>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</si>
  <si>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</si>
  <si>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</si>
  <si>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</si>
  <si>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</si>
  <si>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</si>
  <si>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</si>
  <si>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</si>
  <si>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</si>
  <si>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</si>
  <si>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</si>
  <si>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</si>
  <si>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</si>
  <si>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</si>
  <si>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</si>
  <si>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</si>
  <si>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</si>
  <si>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</si>
  <si>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</si>
  <si>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</si>
  <si>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</si>
  <si>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</si>
  <si>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</si>
  <si>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</si>
  <si>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</si>
  <si>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</si>
  <si>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</si>
  <si>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</si>
  <si>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</si>
  <si>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</si>
  <si>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</si>
  <si>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</si>
  <si>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</si>
  <si>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</si>
  <si>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</si>
  <si>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</si>
  <si>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</si>
  <si>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</si>
  <si>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</si>
  <si>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</si>
  <si>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</si>
  <si>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</si>
  <si>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</si>
  <si>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</si>
  <si>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</si>
  <si>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</si>
  <si>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</si>
  <si>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</si>
  <si>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</si>
  <si>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</si>
  <si>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</si>
  <si>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</si>
  <si>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</si>
  <si>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</si>
  <si>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</si>
  <si>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</si>
  <si>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</si>
  <si>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</si>
  <si>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</si>
  <si>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</si>
  <si>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</si>
  <si>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</si>
  <si>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</si>
  <si>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</si>
  <si>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</si>
  <si>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</si>
  <si>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</si>
  <si>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</si>
  <si>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</si>
  <si>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</si>
  <si>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</si>
  <si>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</si>
  <si>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</si>
  <si>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</si>
  <si>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</si>
  <si>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</si>
  <si>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</si>
  <si>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</si>
  <si>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</si>
  <si>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</si>
  <si>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</si>
  <si>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</si>
  <si>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</si>
  <si>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</si>
  <si>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</si>
  <si>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</si>
  <si>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</si>
  <si>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</si>
  <si>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</si>
  <si>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</si>
  <si>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</si>
  <si>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</si>
  <si>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</si>
  <si>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</si>
  <si>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</si>
  <si>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</si>
  <si>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</si>
  <si>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</si>
  <si>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</si>
  <si>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</si>
  <si>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</si>
  <si>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</si>
  <si>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</si>
  <si>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</si>
  <si>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</si>
  <si>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</si>
  <si>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</si>
  <si>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</si>
  <si>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</si>
  <si>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</si>
  <si>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</si>
  <si>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</si>
  <si>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</si>
  <si>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</si>
  <si>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</si>
  <si>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</si>
  <si>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</si>
  <si>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</si>
  <si>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</si>
  <si>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</si>
  <si>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</si>
  <si>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</si>
  <si>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</si>
  <si>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</si>
  <si>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</si>
  <si>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</si>
  <si>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</si>
  <si>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</si>
  <si>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</si>
  <si>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</si>
  <si>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</si>
  <si>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</si>
  <si>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</si>
  <si>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</si>
  <si>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</si>
  <si>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</si>
  <si>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</si>
  <si>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</si>
  <si>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</si>
  <si>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</si>
  <si>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</si>
  <si>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</si>
  <si>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</si>
  <si>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</si>
  <si>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</si>
  <si>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</si>
  <si>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</si>
  <si>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</si>
  <si>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</si>
  <si>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</si>
  <si>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</si>
  <si>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</si>
  <si>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</si>
  <si>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</si>
  <si>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</si>
  <si>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</si>
  <si>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</si>
  <si>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</si>
  <si>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</si>
  <si>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</si>
  <si>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</si>
  <si>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</si>
  <si>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</si>
  <si>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</si>
  <si>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</si>
  <si>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</si>
  <si>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</si>
  <si>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</si>
  <si>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</si>
  <si>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</si>
  <si>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</si>
  <si>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</si>
  <si>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</si>
  <si>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</si>
  <si>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</si>
  <si>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</si>
  <si>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</si>
  <si>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</si>
  <si>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</si>
  <si>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</si>
  <si>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</si>
  <si>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</si>
  <si>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</si>
  <si>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</si>
  <si>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</si>
  <si>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</si>
  <si>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</si>
  <si>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36008</t>
  </si>
  <si>
    <t>IZEGEM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</si>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</sst>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36008</v>
      </c>
      <c r="B6" s="396"/>
      <c r="C6" s="397"/>
    </row>
    <row r="7" spans="1:7" s="394" customFormat="1" ht="15.75" customHeight="1">
      <c r="A7" s="398" t="str">
        <f>txtMunicipality</f>
        <v>IZEGEM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34258.324000000001</v>
      </c>
      <c r="D10" s="702">
        <f ca="1">tertiair!C16</f>
        <v>0</v>
      </c>
      <c r="E10" s="702">
        <f ca="1">tertiair!D16</f>
        <v>36699.044214999289</v>
      </c>
      <c r="F10" s="702">
        <f>tertiair!E16</f>
        <v>472.59127479968731</v>
      </c>
      <c r="G10" s="702">
        <f ca="1">tertiair!F16</f>
        <v>6158.5595499800893</v>
      </c>
      <c r="H10" s="702">
        <f>tertiair!G16</f>
        <v>0</v>
      </c>
      <c r="I10" s="702">
        <f>tertiair!H16</f>
        <v>0</v>
      </c>
      <c r="J10" s="702">
        <f>tertiair!I16</f>
        <v>0</v>
      </c>
      <c r="K10" s="702">
        <f>tertiair!J16</f>
        <v>0</v>
      </c>
      <c r="L10" s="702">
        <f>tertiair!K16</f>
        <v>0</v>
      </c>
      <c r="M10" s="702">
        <f ca="1">tertiair!L16</f>
        <v>0</v>
      </c>
      <c r="N10" s="702">
        <f>tertiair!M16</f>
        <v>0</v>
      </c>
      <c r="O10" s="702">
        <f ca="1">tertiair!N16</f>
        <v>625.98211379885674</v>
      </c>
      <c r="P10" s="702">
        <f>tertiair!O16</f>
        <v>4.6900000000000004</v>
      </c>
      <c r="Q10" s="703">
        <f>tertiair!P16</f>
        <v>38.133333333333333</v>
      </c>
      <c r="R10" s="705">
        <f ca="1">SUM(C10:Q10)</f>
        <v>78257.324486911268</v>
      </c>
      <c r="S10" s="67"/>
    </row>
    <row r="11" spans="1:19" s="457" customFormat="1">
      <c r="A11" s="858" t="s">
        <v>226</v>
      </c>
      <c r="B11" s="863"/>
      <c r="C11" s="702">
        <f>huishoudens!B8</f>
        <v>45498.88355723556</v>
      </c>
      <c r="D11" s="702">
        <f>huishoudens!C8</f>
        <v>0</v>
      </c>
      <c r="E11" s="702">
        <f>huishoudens!D8</f>
        <v>119207.64467907367</v>
      </c>
      <c r="F11" s="702">
        <f>huishoudens!E8</f>
        <v>5770.675282657533</v>
      </c>
      <c r="G11" s="702">
        <f>huishoudens!F8</f>
        <v>18930.308285499887</v>
      </c>
      <c r="H11" s="702">
        <f>huishoudens!G8</f>
        <v>0</v>
      </c>
      <c r="I11" s="702">
        <f>huishoudens!H8</f>
        <v>0</v>
      </c>
      <c r="J11" s="702">
        <f>huishoudens!I8</f>
        <v>0</v>
      </c>
      <c r="K11" s="702">
        <f>huishoudens!J8</f>
        <v>625.35585419432346</v>
      </c>
      <c r="L11" s="702">
        <f>huishoudens!K8</f>
        <v>0</v>
      </c>
      <c r="M11" s="702">
        <f>huishoudens!L8</f>
        <v>0</v>
      </c>
      <c r="N11" s="702">
        <f>huishoudens!M8</f>
        <v>0</v>
      </c>
      <c r="O11" s="702">
        <f>huishoudens!N8</f>
        <v>23916.668478555326</v>
      </c>
      <c r="P11" s="702">
        <f>huishoudens!O8</f>
        <v>131.32000000000002</v>
      </c>
      <c r="Q11" s="703">
        <f>huishoudens!P8</f>
        <v>76.266666666666666</v>
      </c>
      <c r="R11" s="705">
        <f>SUM(C11:Q11)</f>
        <v>214157.12280388299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80269.186000000002</v>
      </c>
      <c r="D13" s="702">
        <f>industrie!C18</f>
        <v>0</v>
      </c>
      <c r="E13" s="702">
        <f>industrie!D18</f>
        <v>56514.503217306279</v>
      </c>
      <c r="F13" s="702">
        <f>industrie!E18</f>
        <v>846.66482003162298</v>
      </c>
      <c r="G13" s="702">
        <f>industrie!F18</f>
        <v>22972.928083176583</v>
      </c>
      <c r="H13" s="702">
        <f>industrie!G18</f>
        <v>0</v>
      </c>
      <c r="I13" s="702">
        <f>industrie!H18</f>
        <v>0</v>
      </c>
      <c r="J13" s="702">
        <f>industrie!I18</f>
        <v>0</v>
      </c>
      <c r="K13" s="702">
        <f>industrie!J18</f>
        <v>477.68850341906722</v>
      </c>
      <c r="L13" s="702">
        <f>industrie!K18</f>
        <v>0</v>
      </c>
      <c r="M13" s="702">
        <f>industrie!L18</f>
        <v>0</v>
      </c>
      <c r="N13" s="702">
        <f>industrie!M18</f>
        <v>0</v>
      </c>
      <c r="O13" s="702">
        <f>industrie!N18</f>
        <v>2042.3575023621697</v>
      </c>
      <c r="P13" s="702">
        <f>industrie!O18</f>
        <v>0</v>
      </c>
      <c r="Q13" s="703">
        <f>industrie!P18</f>
        <v>0</v>
      </c>
      <c r="R13" s="705">
        <f>SUM(C13:Q13)</f>
        <v>163123.3281262957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160026.39355723554</v>
      </c>
      <c r="D15" s="707">
        <f t="shared" ref="D15:Q15" ca="1" si="0">SUM(D9:D14)</f>
        <v>0</v>
      </c>
      <c r="E15" s="707">
        <f t="shared" ca="1" si="0"/>
        <v>212421.19211137923</v>
      </c>
      <c r="F15" s="707">
        <f t="shared" si="0"/>
        <v>7089.9313774888433</v>
      </c>
      <c r="G15" s="707">
        <f t="shared" ca="1" si="0"/>
        <v>48061.795918656557</v>
      </c>
      <c r="H15" s="707">
        <f t="shared" si="0"/>
        <v>0</v>
      </c>
      <c r="I15" s="707">
        <f t="shared" si="0"/>
        <v>0</v>
      </c>
      <c r="J15" s="707">
        <f t="shared" si="0"/>
        <v>0</v>
      </c>
      <c r="K15" s="707">
        <f t="shared" si="0"/>
        <v>1103.0443576133907</v>
      </c>
      <c r="L15" s="707">
        <f t="shared" si="0"/>
        <v>0</v>
      </c>
      <c r="M15" s="707">
        <f t="shared" ca="1" si="0"/>
        <v>0</v>
      </c>
      <c r="N15" s="707">
        <f t="shared" si="0"/>
        <v>0</v>
      </c>
      <c r="O15" s="707">
        <f t="shared" ca="1" si="0"/>
        <v>26585.008094716355</v>
      </c>
      <c r="P15" s="707">
        <f t="shared" si="0"/>
        <v>136.01000000000002</v>
      </c>
      <c r="Q15" s="708">
        <f t="shared" si="0"/>
        <v>114.4</v>
      </c>
      <c r="R15" s="709">
        <f ca="1">SUM(R9:R14)</f>
        <v>455537.77541708993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736.07831321401352</v>
      </c>
      <c r="I18" s="702">
        <f>transport!H54</f>
        <v>0</v>
      </c>
      <c r="J18" s="702">
        <f>transport!I54</f>
        <v>0</v>
      </c>
      <c r="K18" s="702">
        <f>transport!J54</f>
        <v>0</v>
      </c>
      <c r="L18" s="702">
        <f>transport!K54</f>
        <v>0</v>
      </c>
      <c r="M18" s="702">
        <f>transport!L54</f>
        <v>0</v>
      </c>
      <c r="N18" s="702">
        <f>transport!M54</f>
        <v>31.375820617330316</v>
      </c>
      <c r="O18" s="702">
        <f>transport!N54</f>
        <v>0</v>
      </c>
      <c r="P18" s="702">
        <f>transport!O54</f>
        <v>0</v>
      </c>
      <c r="Q18" s="703">
        <f>transport!P54</f>
        <v>0</v>
      </c>
      <c r="R18" s="705">
        <f>SUM(C18:Q18)</f>
        <v>767.45413383134382</v>
      </c>
      <c r="S18" s="67"/>
    </row>
    <row r="19" spans="1:19" s="457" customFormat="1" ht="15" thickBot="1">
      <c r="A19" s="858" t="s">
        <v>308</v>
      </c>
      <c r="B19" s="863"/>
      <c r="C19" s="711">
        <f>transport!B14</f>
        <v>1.0866164096311359</v>
      </c>
      <c r="D19" s="711">
        <f>transport!C14</f>
        <v>0</v>
      </c>
      <c r="E19" s="711">
        <f>transport!D14</f>
        <v>5.9750451182934672</v>
      </c>
      <c r="F19" s="711">
        <f>transport!E14</f>
        <v>634.71445473564074</v>
      </c>
      <c r="G19" s="711">
        <f>transport!F14</f>
        <v>0</v>
      </c>
      <c r="H19" s="711">
        <f>transport!G14</f>
        <v>124855.87941325446</v>
      </c>
      <c r="I19" s="711">
        <f>transport!H14</f>
        <v>19992.577420064947</v>
      </c>
      <c r="J19" s="711">
        <f>transport!I14</f>
        <v>0</v>
      </c>
      <c r="K19" s="711">
        <f>transport!J14</f>
        <v>0</v>
      </c>
      <c r="L19" s="711">
        <f>transport!K14</f>
        <v>0</v>
      </c>
      <c r="M19" s="711">
        <f>transport!L14</f>
        <v>0</v>
      </c>
      <c r="N19" s="711">
        <f>transport!M14</f>
        <v>6316.5217344608327</v>
      </c>
      <c r="O19" s="711">
        <f>transport!N14</f>
        <v>0</v>
      </c>
      <c r="P19" s="711">
        <f>transport!O14</f>
        <v>0</v>
      </c>
      <c r="Q19" s="712">
        <f>transport!P14</f>
        <v>0</v>
      </c>
      <c r="R19" s="713">
        <f>SUM(C19:Q19)</f>
        <v>151806.75468404382</v>
      </c>
      <c r="S19" s="67"/>
    </row>
    <row r="20" spans="1:19" s="457" customFormat="1" ht="15.75" thickBot="1">
      <c r="A20" s="714" t="s">
        <v>231</v>
      </c>
      <c r="B20" s="866"/>
      <c r="C20" s="861">
        <f>SUM(C17:C19)</f>
        <v>1.0866164096311359</v>
      </c>
      <c r="D20" s="715">
        <f t="shared" ref="D20:R20" si="1">SUM(D17:D19)</f>
        <v>0</v>
      </c>
      <c r="E20" s="715">
        <f t="shared" si="1"/>
        <v>5.9750451182934672</v>
      </c>
      <c r="F20" s="715">
        <f t="shared" si="1"/>
        <v>634.71445473564074</v>
      </c>
      <c r="G20" s="715">
        <f t="shared" si="1"/>
        <v>0</v>
      </c>
      <c r="H20" s="715">
        <f t="shared" si="1"/>
        <v>125591.95772646848</v>
      </c>
      <c r="I20" s="715">
        <f t="shared" si="1"/>
        <v>19992.577420064947</v>
      </c>
      <c r="J20" s="715">
        <f t="shared" si="1"/>
        <v>0</v>
      </c>
      <c r="K20" s="715">
        <f t="shared" si="1"/>
        <v>0</v>
      </c>
      <c r="L20" s="715">
        <f t="shared" si="1"/>
        <v>0</v>
      </c>
      <c r="M20" s="715">
        <f t="shared" si="1"/>
        <v>0</v>
      </c>
      <c r="N20" s="715">
        <f t="shared" si="1"/>
        <v>6347.8975550781634</v>
      </c>
      <c r="O20" s="715">
        <f t="shared" si="1"/>
        <v>0</v>
      </c>
      <c r="P20" s="715">
        <f t="shared" si="1"/>
        <v>0</v>
      </c>
      <c r="Q20" s="716">
        <f t="shared" si="1"/>
        <v>0</v>
      </c>
      <c r="R20" s="717">
        <f t="shared" si="1"/>
        <v>152574.20881787516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1807.72</v>
      </c>
      <c r="D22" s="711">
        <f>+landbouw!C8</f>
        <v>0</v>
      </c>
      <c r="E22" s="711">
        <f>+landbouw!D8</f>
        <v>12322.681577286077</v>
      </c>
      <c r="F22" s="711">
        <f>+landbouw!E8</f>
        <v>18.93083519542062</v>
      </c>
      <c r="G22" s="711">
        <f>+landbouw!F8</f>
        <v>9284.7377528928519</v>
      </c>
      <c r="H22" s="711">
        <f>+landbouw!G8</f>
        <v>0</v>
      </c>
      <c r="I22" s="711">
        <f>+landbouw!H8</f>
        <v>0</v>
      </c>
      <c r="J22" s="711">
        <f>+landbouw!I8</f>
        <v>0</v>
      </c>
      <c r="K22" s="711">
        <f>+landbouw!J8</f>
        <v>161.44559887077548</v>
      </c>
      <c r="L22" s="711">
        <f>+landbouw!K8</f>
        <v>0</v>
      </c>
      <c r="M22" s="711">
        <f>+landbouw!L8</f>
        <v>0</v>
      </c>
      <c r="N22" s="711">
        <f>+landbouw!M8</f>
        <v>0</v>
      </c>
      <c r="O22" s="711">
        <f>+landbouw!N8</f>
        <v>0</v>
      </c>
      <c r="P22" s="711">
        <f>+landbouw!O8</f>
        <v>0</v>
      </c>
      <c r="Q22" s="712">
        <f>+landbouw!P8</f>
        <v>0</v>
      </c>
      <c r="R22" s="713">
        <f>SUM(C22:Q22)</f>
        <v>23595.515764245123</v>
      </c>
      <c r="S22" s="67"/>
    </row>
    <row r="23" spans="1:19" s="457" customFormat="1" ht="17.25" thickTop="1" thickBot="1">
      <c r="A23" s="718" t="s">
        <v>116</v>
      </c>
      <c r="B23" s="852"/>
      <c r="C23" s="719">
        <f ca="1">C20+C15+C22</f>
        <v>161835.20017364516</v>
      </c>
      <c r="D23" s="719">
        <f t="shared" ref="D23:Q23" ca="1" si="2">D20+D15+D22</f>
        <v>0</v>
      </c>
      <c r="E23" s="719">
        <f t="shared" ca="1" si="2"/>
        <v>224749.84873378361</v>
      </c>
      <c r="F23" s="719">
        <f t="shared" si="2"/>
        <v>7743.5766674199049</v>
      </c>
      <c r="G23" s="719">
        <f t="shared" ca="1" si="2"/>
        <v>57346.533671549405</v>
      </c>
      <c r="H23" s="719">
        <f t="shared" si="2"/>
        <v>125591.95772646848</v>
      </c>
      <c r="I23" s="719">
        <f t="shared" si="2"/>
        <v>19992.577420064947</v>
      </c>
      <c r="J23" s="719">
        <f t="shared" si="2"/>
        <v>0</v>
      </c>
      <c r="K23" s="719">
        <f t="shared" si="2"/>
        <v>1264.4899564841662</v>
      </c>
      <c r="L23" s="719">
        <f t="shared" si="2"/>
        <v>0</v>
      </c>
      <c r="M23" s="719">
        <f t="shared" ca="1" si="2"/>
        <v>0</v>
      </c>
      <c r="N23" s="719">
        <f t="shared" si="2"/>
        <v>6347.8975550781634</v>
      </c>
      <c r="O23" s="719">
        <f t="shared" ca="1" si="2"/>
        <v>26585.008094716355</v>
      </c>
      <c r="P23" s="719">
        <f t="shared" si="2"/>
        <v>136.01000000000002</v>
      </c>
      <c r="Q23" s="720">
        <f t="shared" si="2"/>
        <v>114.4</v>
      </c>
      <c r="R23" s="721">
        <f ca="1">R20+R15+R22</f>
        <v>631707.49999921024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6423.7519796627748</v>
      </c>
      <c r="D36" s="702">
        <f ca="1">tertiair!C20</f>
        <v>0</v>
      </c>
      <c r="E36" s="702">
        <f ca="1">tertiair!D20</f>
        <v>7413.2069314298569</v>
      </c>
      <c r="F36" s="702">
        <f>tertiair!E20</f>
        <v>107.27821937952902</v>
      </c>
      <c r="G36" s="702">
        <f ca="1">tertiair!F20</f>
        <v>1644.3353998446839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15588.572530316844</v>
      </c>
    </row>
    <row r="37" spans="1:18">
      <c r="A37" s="873" t="s">
        <v>226</v>
      </c>
      <c r="B37" s="880"/>
      <c r="C37" s="702">
        <f ca="1">huishoudens!B12</f>
        <v>8531.4606553209669</v>
      </c>
      <c r="D37" s="702">
        <f ca="1">huishoudens!C12</f>
        <v>0</v>
      </c>
      <c r="E37" s="702">
        <f>huishoudens!D12</f>
        <v>24079.944225172883</v>
      </c>
      <c r="F37" s="702">
        <f>huishoudens!E12</f>
        <v>1309.94328916326</v>
      </c>
      <c r="G37" s="702">
        <f>huishoudens!F12</f>
        <v>5054.3923122284696</v>
      </c>
      <c r="H37" s="702">
        <f>huishoudens!G12</f>
        <v>0</v>
      </c>
      <c r="I37" s="702">
        <f>huishoudens!H12</f>
        <v>0</v>
      </c>
      <c r="J37" s="702">
        <f>huishoudens!I12</f>
        <v>0</v>
      </c>
      <c r="K37" s="702">
        <f>huishoudens!J12</f>
        <v>221.37597238479049</v>
      </c>
      <c r="L37" s="702">
        <f>huishoudens!K12</f>
        <v>0</v>
      </c>
      <c r="M37" s="702">
        <f>huishoudens!L12</f>
        <v>0</v>
      </c>
      <c r="N37" s="702">
        <f>huishoudens!M12</f>
        <v>0</v>
      </c>
      <c r="O37" s="702">
        <f>huishoudens!N12</f>
        <v>0</v>
      </c>
      <c r="P37" s="702">
        <f>huishoudens!O12</f>
        <v>0</v>
      </c>
      <c r="Q37" s="812">
        <f>huishoudens!P12</f>
        <v>0</v>
      </c>
      <c r="R37" s="905">
        <f ca="1">SUM(C37:Q37)</f>
        <v>39197.11645427037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15051.213318941684</v>
      </c>
      <c r="D39" s="702">
        <f ca="1">industrie!C22</f>
        <v>0</v>
      </c>
      <c r="E39" s="702">
        <f>industrie!D22</f>
        <v>11415.929649895868</v>
      </c>
      <c r="F39" s="702">
        <f>industrie!E22</f>
        <v>192.19291414717841</v>
      </c>
      <c r="G39" s="702">
        <f>industrie!F22</f>
        <v>6133.7717982081476</v>
      </c>
      <c r="H39" s="702">
        <f>industrie!G22</f>
        <v>0</v>
      </c>
      <c r="I39" s="702">
        <f>industrie!H22</f>
        <v>0</v>
      </c>
      <c r="J39" s="702">
        <f>industrie!I22</f>
        <v>0</v>
      </c>
      <c r="K39" s="702">
        <f>industrie!J22</f>
        <v>169.10173021034979</v>
      </c>
      <c r="L39" s="702">
        <f>industrie!K22</f>
        <v>0</v>
      </c>
      <c r="M39" s="702">
        <f>industrie!L22</f>
        <v>0</v>
      </c>
      <c r="N39" s="702">
        <f>industrie!M22</f>
        <v>0</v>
      </c>
      <c r="O39" s="702">
        <f>industrie!N22</f>
        <v>0</v>
      </c>
      <c r="P39" s="702">
        <f>industrie!O22</f>
        <v>0</v>
      </c>
      <c r="Q39" s="812">
        <f>industrie!P22</f>
        <v>0</v>
      </c>
      <c r="R39" s="906">
        <f ca="1">SUM(C39:Q39)</f>
        <v>32962.209411403222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30006.425953925427</v>
      </c>
      <c r="D41" s="747">
        <f t="shared" ref="D41:R41" ca="1" si="4">SUM(D35:D40)</f>
        <v>0</v>
      </c>
      <c r="E41" s="747">
        <f t="shared" ca="1" si="4"/>
        <v>42909.080806498605</v>
      </c>
      <c r="F41" s="747">
        <f t="shared" si="4"/>
        <v>1609.4144226899675</v>
      </c>
      <c r="G41" s="747">
        <f t="shared" ca="1" si="4"/>
        <v>12832.499510281301</v>
      </c>
      <c r="H41" s="747">
        <f t="shared" si="4"/>
        <v>0</v>
      </c>
      <c r="I41" s="747">
        <f t="shared" si="4"/>
        <v>0</v>
      </c>
      <c r="J41" s="747">
        <f t="shared" si="4"/>
        <v>0</v>
      </c>
      <c r="K41" s="747">
        <f t="shared" si="4"/>
        <v>390.47770259514027</v>
      </c>
      <c r="L41" s="747">
        <f t="shared" si="4"/>
        <v>0</v>
      </c>
      <c r="M41" s="747">
        <f t="shared" ca="1" si="4"/>
        <v>0</v>
      </c>
      <c r="N41" s="747">
        <f t="shared" si="4"/>
        <v>0</v>
      </c>
      <c r="O41" s="747">
        <f t="shared" ca="1" si="4"/>
        <v>0</v>
      </c>
      <c r="P41" s="747">
        <f t="shared" si="4"/>
        <v>0</v>
      </c>
      <c r="Q41" s="748">
        <f t="shared" si="4"/>
        <v>0</v>
      </c>
      <c r="R41" s="749">
        <f t="shared" ca="1" si="4"/>
        <v>87747.898395990429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196.53290962814162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196.53290962814162</v>
      </c>
    </row>
    <row r="45" spans="1:18" ht="15" thickBot="1">
      <c r="A45" s="876" t="s">
        <v>308</v>
      </c>
      <c r="B45" s="886"/>
      <c r="C45" s="711">
        <f ca="1">transport!B18</f>
        <v>0.20375060707879539</v>
      </c>
      <c r="D45" s="711">
        <f>transport!C18</f>
        <v>0</v>
      </c>
      <c r="E45" s="711">
        <f>transport!D18</f>
        <v>1.2069591138952804</v>
      </c>
      <c r="F45" s="711">
        <f>transport!E18</f>
        <v>144.08018122499044</v>
      </c>
      <c r="G45" s="711">
        <f>transport!F18</f>
        <v>0</v>
      </c>
      <c r="H45" s="711">
        <f>transport!G18</f>
        <v>33336.519803338939</v>
      </c>
      <c r="I45" s="711">
        <f>transport!H18</f>
        <v>4978.151777596172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38460.162471881071</v>
      </c>
    </row>
    <row r="46" spans="1:18" ht="15.75" thickBot="1">
      <c r="A46" s="874" t="s">
        <v>231</v>
      </c>
      <c r="B46" s="887"/>
      <c r="C46" s="747">
        <f t="shared" ref="C46:R46" ca="1" si="5">SUM(C43:C45)</f>
        <v>0.20375060707879539</v>
      </c>
      <c r="D46" s="747">
        <f t="shared" ca="1" si="5"/>
        <v>0</v>
      </c>
      <c r="E46" s="747">
        <f t="shared" si="5"/>
        <v>1.2069591138952804</v>
      </c>
      <c r="F46" s="747">
        <f t="shared" si="5"/>
        <v>144.08018122499044</v>
      </c>
      <c r="G46" s="747">
        <f t="shared" si="5"/>
        <v>0</v>
      </c>
      <c r="H46" s="747">
        <f t="shared" si="5"/>
        <v>33533.052712967081</v>
      </c>
      <c r="I46" s="747">
        <f t="shared" si="5"/>
        <v>4978.151777596172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38656.695381509213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338.96418659231523</v>
      </c>
      <c r="D48" s="702">
        <f ca="1">+landbouw!C12</f>
        <v>0</v>
      </c>
      <c r="E48" s="702">
        <f>+landbouw!D12</f>
        <v>2489.1816786117879</v>
      </c>
      <c r="F48" s="702">
        <f>+landbouw!E12</f>
        <v>4.2972995893604811</v>
      </c>
      <c r="G48" s="702">
        <f>+landbouw!F12</f>
        <v>2479.0249800223914</v>
      </c>
      <c r="H48" s="702">
        <f>+landbouw!G12</f>
        <v>0</v>
      </c>
      <c r="I48" s="702">
        <f>+landbouw!H12</f>
        <v>0</v>
      </c>
      <c r="J48" s="702">
        <f>+landbouw!I12</f>
        <v>0</v>
      </c>
      <c r="K48" s="702">
        <f>+landbouw!J12</f>
        <v>57.151742000254515</v>
      </c>
      <c r="L48" s="702">
        <f>+landbouw!K12</f>
        <v>0</v>
      </c>
      <c r="M48" s="702">
        <f>+landbouw!L12</f>
        <v>0</v>
      </c>
      <c r="N48" s="702">
        <f>+landbouw!M12</f>
        <v>0</v>
      </c>
      <c r="O48" s="702">
        <f>+landbouw!N12</f>
        <v>0</v>
      </c>
      <c r="P48" s="702">
        <f>+landbouw!O12</f>
        <v>0</v>
      </c>
      <c r="Q48" s="703">
        <f>+landbouw!P12</f>
        <v>0</v>
      </c>
      <c r="R48" s="745">
        <f ca="1">SUM(C48:Q48)</f>
        <v>5368.61988681611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30345.593891124819</v>
      </c>
      <c r="D53" s="757">
        <f t="shared" ref="D53:Q53" ca="1" si="6">D41+D46+D48</f>
        <v>0</v>
      </c>
      <c r="E53" s="757">
        <f t="shared" ca="1" si="6"/>
        <v>45399.469444224284</v>
      </c>
      <c r="F53" s="757">
        <f t="shared" si="6"/>
        <v>1757.7919035043185</v>
      </c>
      <c r="G53" s="757">
        <f t="shared" ca="1" si="6"/>
        <v>15311.524490303693</v>
      </c>
      <c r="H53" s="757">
        <f t="shared" si="6"/>
        <v>33533.052712967081</v>
      </c>
      <c r="I53" s="757">
        <f t="shared" si="6"/>
        <v>4978.151777596172</v>
      </c>
      <c r="J53" s="757">
        <f t="shared" si="6"/>
        <v>0</v>
      </c>
      <c r="K53" s="757">
        <f t="shared" si="6"/>
        <v>447.62944459539477</v>
      </c>
      <c r="L53" s="757">
        <f t="shared" si="6"/>
        <v>0</v>
      </c>
      <c r="M53" s="757">
        <f t="shared" ca="1" si="6"/>
        <v>0</v>
      </c>
      <c r="N53" s="757">
        <f t="shared" si="6"/>
        <v>0</v>
      </c>
      <c r="O53" s="757">
        <f t="shared" ca="1" si="6"/>
        <v>0</v>
      </c>
      <c r="P53" s="757">
        <f>P41+P46+P48</f>
        <v>0</v>
      </c>
      <c r="Q53" s="758">
        <f t="shared" si="6"/>
        <v>0</v>
      </c>
      <c r="R53" s="759">
        <f ca="1">R41+R46+R48</f>
        <v>131773.21366431576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0.1875092307394482</v>
      </c>
      <c r="D55" s="823">
        <f t="shared" ca="1" si="7"/>
        <v>0</v>
      </c>
      <c r="E55" s="823">
        <f t="shared" ca="1" si="7"/>
        <v>0.20199999999999999</v>
      </c>
      <c r="F55" s="823">
        <f t="shared" si="7"/>
        <v>0.22700000000000001</v>
      </c>
      <c r="G55" s="823">
        <f t="shared" ca="1" si="7"/>
        <v>0.26700000000000002</v>
      </c>
      <c r="H55" s="823">
        <f t="shared" si="7"/>
        <v>0.26699999999999996</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20813.545105066914</v>
      </c>
      <c r="C64" s="779">
        <f>'lokale energieproductie'!B4</f>
        <v>20813.545105066914</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3711.2754707284357</v>
      </c>
      <c r="C66" s="779">
        <f>'lokale energieproductie'!B6</f>
        <v>3711.2754707284357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24524.820575795351</v>
      </c>
      <c r="C69" s="787">
        <f>SUM(C64:C68)</f>
        <v>24524.820575795351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45498.88355723556</v>
      </c>
      <c r="C4" s="461">
        <f>huishoudens!C8</f>
        <v>0</v>
      </c>
      <c r="D4" s="461">
        <f>huishoudens!D8</f>
        <v>119207.64467907367</v>
      </c>
      <c r="E4" s="461">
        <f>huishoudens!E8</f>
        <v>5770.675282657533</v>
      </c>
      <c r="F4" s="461">
        <f>huishoudens!F8</f>
        <v>18930.308285499887</v>
      </c>
      <c r="G4" s="461">
        <f>huishoudens!G8</f>
        <v>0</v>
      </c>
      <c r="H4" s="461">
        <f>huishoudens!H8</f>
        <v>0</v>
      </c>
      <c r="I4" s="461">
        <f>huishoudens!I8</f>
        <v>0</v>
      </c>
      <c r="J4" s="461">
        <f>huishoudens!J8</f>
        <v>625.35585419432346</v>
      </c>
      <c r="K4" s="461">
        <f>huishoudens!K8</f>
        <v>0</v>
      </c>
      <c r="L4" s="461">
        <f>huishoudens!L8</f>
        <v>0</v>
      </c>
      <c r="M4" s="461">
        <f>huishoudens!M8</f>
        <v>0</v>
      </c>
      <c r="N4" s="461">
        <f>huishoudens!N8</f>
        <v>23916.668478555326</v>
      </c>
      <c r="O4" s="461">
        <f>huishoudens!O8</f>
        <v>131.32000000000002</v>
      </c>
      <c r="P4" s="462">
        <f>huishoudens!P8</f>
        <v>76.266666666666666</v>
      </c>
      <c r="Q4" s="463">
        <f>SUM(B4:P4)</f>
        <v>214157.12280388299</v>
      </c>
    </row>
    <row r="5" spans="1:17">
      <c r="A5" s="460" t="s">
        <v>156</v>
      </c>
      <c r="B5" s="461">
        <f ca="1">tertiair!B16</f>
        <v>31795.323</v>
      </c>
      <c r="C5" s="461">
        <f ca="1">tertiair!C16</f>
        <v>0</v>
      </c>
      <c r="D5" s="461">
        <f ca="1">tertiair!D16</f>
        <v>36699.044214999289</v>
      </c>
      <c r="E5" s="461">
        <f>tertiair!E16</f>
        <v>472.59127479968731</v>
      </c>
      <c r="F5" s="461">
        <f ca="1">tertiair!F16</f>
        <v>6158.5595499800893</v>
      </c>
      <c r="G5" s="461">
        <f>tertiair!G16</f>
        <v>0</v>
      </c>
      <c r="H5" s="461">
        <f>tertiair!H16</f>
        <v>0</v>
      </c>
      <c r="I5" s="461">
        <f>tertiair!I16</f>
        <v>0</v>
      </c>
      <c r="J5" s="461">
        <f>tertiair!J16</f>
        <v>0</v>
      </c>
      <c r="K5" s="461">
        <f>tertiair!K16</f>
        <v>0</v>
      </c>
      <c r="L5" s="461">
        <f ca="1">tertiair!L16</f>
        <v>0</v>
      </c>
      <c r="M5" s="461">
        <f>tertiair!M16</f>
        <v>0</v>
      </c>
      <c r="N5" s="461">
        <f ca="1">tertiair!N16</f>
        <v>625.98211379885674</v>
      </c>
      <c r="O5" s="461">
        <f>tertiair!O16</f>
        <v>4.6900000000000004</v>
      </c>
      <c r="P5" s="462">
        <f>tertiair!P16</f>
        <v>38.133333333333333</v>
      </c>
      <c r="Q5" s="460">
        <f t="shared" ref="Q5:Q13" ca="1" si="0">SUM(B5:P5)</f>
        <v>75794.323486911264</v>
      </c>
    </row>
    <row r="6" spans="1:17">
      <c r="A6" s="460" t="s">
        <v>195</v>
      </c>
      <c r="B6" s="461">
        <f>'openbare verlichting'!B8</f>
        <v>2463.0010000000002</v>
      </c>
      <c r="C6" s="461"/>
      <c r="D6" s="461"/>
      <c r="E6" s="461"/>
      <c r="F6" s="461"/>
      <c r="G6" s="461"/>
      <c r="H6" s="461"/>
      <c r="I6" s="461"/>
      <c r="J6" s="461"/>
      <c r="K6" s="461"/>
      <c r="L6" s="461"/>
      <c r="M6" s="461"/>
      <c r="N6" s="461"/>
      <c r="O6" s="461"/>
      <c r="P6" s="462"/>
      <c r="Q6" s="460">
        <f t="shared" si="0"/>
        <v>2463.0010000000002</v>
      </c>
    </row>
    <row r="7" spans="1:17">
      <c r="A7" s="460" t="s">
        <v>112</v>
      </c>
      <c r="B7" s="461">
        <f>landbouw!B8</f>
        <v>1807.72</v>
      </c>
      <c r="C7" s="461">
        <f>landbouw!C8</f>
        <v>0</v>
      </c>
      <c r="D7" s="461">
        <f>landbouw!D8</f>
        <v>12322.681577286077</v>
      </c>
      <c r="E7" s="461">
        <f>landbouw!E8</f>
        <v>18.93083519542062</v>
      </c>
      <c r="F7" s="461">
        <f>landbouw!F8</f>
        <v>9284.7377528928519</v>
      </c>
      <c r="G7" s="461">
        <f>landbouw!G8</f>
        <v>0</v>
      </c>
      <c r="H7" s="461">
        <f>landbouw!H8</f>
        <v>0</v>
      </c>
      <c r="I7" s="461">
        <f>landbouw!I8</f>
        <v>0</v>
      </c>
      <c r="J7" s="461">
        <f>landbouw!J8</f>
        <v>161.44559887077548</v>
      </c>
      <c r="K7" s="461">
        <f>landbouw!K8</f>
        <v>0</v>
      </c>
      <c r="L7" s="461">
        <f>landbouw!L8</f>
        <v>0</v>
      </c>
      <c r="M7" s="461">
        <f>landbouw!M8</f>
        <v>0</v>
      </c>
      <c r="N7" s="461">
        <f>landbouw!N8</f>
        <v>0</v>
      </c>
      <c r="O7" s="461">
        <f>landbouw!O8</f>
        <v>0</v>
      </c>
      <c r="P7" s="462">
        <f>landbouw!P8</f>
        <v>0</v>
      </c>
      <c r="Q7" s="460">
        <f t="shared" si="0"/>
        <v>23595.515764245123</v>
      </c>
    </row>
    <row r="8" spans="1:17">
      <c r="A8" s="460" t="s">
        <v>656</v>
      </c>
      <c r="B8" s="461">
        <f>industrie!B18</f>
        <v>80269.186000000002</v>
      </c>
      <c r="C8" s="461">
        <f>industrie!C18</f>
        <v>0</v>
      </c>
      <c r="D8" s="461">
        <f>industrie!D18</f>
        <v>56514.503217306279</v>
      </c>
      <c r="E8" s="461">
        <f>industrie!E18</f>
        <v>846.66482003162298</v>
      </c>
      <c r="F8" s="461">
        <f>industrie!F18</f>
        <v>22972.928083176583</v>
      </c>
      <c r="G8" s="461">
        <f>industrie!G18</f>
        <v>0</v>
      </c>
      <c r="H8" s="461">
        <f>industrie!H18</f>
        <v>0</v>
      </c>
      <c r="I8" s="461">
        <f>industrie!I18</f>
        <v>0</v>
      </c>
      <c r="J8" s="461">
        <f>industrie!J18</f>
        <v>477.68850341906722</v>
      </c>
      <c r="K8" s="461">
        <f>industrie!K18</f>
        <v>0</v>
      </c>
      <c r="L8" s="461">
        <f>industrie!L18</f>
        <v>0</v>
      </c>
      <c r="M8" s="461">
        <f>industrie!M18</f>
        <v>0</v>
      </c>
      <c r="N8" s="461">
        <f>industrie!N18</f>
        <v>2042.3575023621697</v>
      </c>
      <c r="O8" s="461">
        <f>industrie!O18</f>
        <v>0</v>
      </c>
      <c r="P8" s="462">
        <f>industrie!P18</f>
        <v>0</v>
      </c>
      <c r="Q8" s="460">
        <f t="shared" si="0"/>
        <v>163123.3281262957</v>
      </c>
    </row>
    <row r="9" spans="1:17" s="466" customFormat="1">
      <c r="A9" s="464" t="s">
        <v>574</v>
      </c>
      <c r="B9" s="465">
        <f>transport!B14</f>
        <v>1.0866164096311359</v>
      </c>
      <c r="C9" s="465"/>
      <c r="D9" s="465">
        <f>transport!D14</f>
        <v>5.9750451182934672</v>
      </c>
      <c r="E9" s="465">
        <f>transport!E14</f>
        <v>634.71445473564074</v>
      </c>
      <c r="F9" s="465"/>
      <c r="G9" s="465">
        <f>transport!G14</f>
        <v>124855.87941325446</v>
      </c>
      <c r="H9" s="465">
        <f>transport!H14</f>
        <v>19992.577420064947</v>
      </c>
      <c r="I9" s="465"/>
      <c r="J9" s="465"/>
      <c r="K9" s="465"/>
      <c r="L9" s="465"/>
      <c r="M9" s="465">
        <f>transport!M14</f>
        <v>6316.5217344608327</v>
      </c>
      <c r="N9" s="465"/>
      <c r="O9" s="465"/>
      <c r="P9" s="465"/>
      <c r="Q9" s="464">
        <f>SUM(B9:P9)</f>
        <v>151806.75468404382</v>
      </c>
    </row>
    <row r="10" spans="1:17">
      <c r="A10" s="460" t="s">
        <v>564</v>
      </c>
      <c r="B10" s="461">
        <f>transport!B54</f>
        <v>0</v>
      </c>
      <c r="C10" s="461"/>
      <c r="D10" s="461">
        <f>transport!D54</f>
        <v>0</v>
      </c>
      <c r="E10" s="461"/>
      <c r="F10" s="461"/>
      <c r="G10" s="461">
        <f>transport!G54</f>
        <v>736.07831321401352</v>
      </c>
      <c r="H10" s="461"/>
      <c r="I10" s="461"/>
      <c r="J10" s="461"/>
      <c r="K10" s="461"/>
      <c r="L10" s="461"/>
      <c r="M10" s="461">
        <f>transport!M54</f>
        <v>31.375820617330316</v>
      </c>
      <c r="N10" s="461"/>
      <c r="O10" s="461"/>
      <c r="P10" s="462"/>
      <c r="Q10" s="460">
        <f t="shared" si="0"/>
        <v>767.45413383134382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161835.20017364519</v>
      </c>
      <c r="C14" s="471">
        <f t="shared" ref="C14:Q14" ca="1" si="1">SUM(C4:C13)</f>
        <v>0</v>
      </c>
      <c r="D14" s="471">
        <f t="shared" ca="1" si="1"/>
        <v>224749.84873378361</v>
      </c>
      <c r="E14" s="471">
        <f t="shared" si="1"/>
        <v>7743.5766674199049</v>
      </c>
      <c r="F14" s="471">
        <f t="shared" ca="1" si="1"/>
        <v>57346.533671549405</v>
      </c>
      <c r="G14" s="471">
        <f t="shared" si="1"/>
        <v>125591.95772646848</v>
      </c>
      <c r="H14" s="471">
        <f t="shared" si="1"/>
        <v>19992.577420064947</v>
      </c>
      <c r="I14" s="471">
        <f t="shared" si="1"/>
        <v>0</v>
      </c>
      <c r="J14" s="471">
        <f t="shared" si="1"/>
        <v>1264.4899564841662</v>
      </c>
      <c r="K14" s="471">
        <f t="shared" si="1"/>
        <v>0</v>
      </c>
      <c r="L14" s="471">
        <f t="shared" ca="1" si="1"/>
        <v>0</v>
      </c>
      <c r="M14" s="471">
        <f t="shared" si="1"/>
        <v>6347.8975550781634</v>
      </c>
      <c r="N14" s="471">
        <f t="shared" ca="1" si="1"/>
        <v>26585.008094716355</v>
      </c>
      <c r="O14" s="471">
        <f t="shared" si="1"/>
        <v>136.01000000000002</v>
      </c>
      <c r="P14" s="472">
        <f t="shared" si="1"/>
        <v>114.4</v>
      </c>
      <c r="Q14" s="472">
        <f t="shared" ca="1" si="1"/>
        <v>631707.49999921012</v>
      </c>
    </row>
    <row r="16" spans="1:17">
      <c r="A16" s="474" t="s">
        <v>569</v>
      </c>
      <c r="B16" s="828">
        <f ca="1">huishoudens!B10</f>
        <v>0.18750923073944817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8531.4606553209669</v>
      </c>
      <c r="C21" s="461">
        <f t="shared" ref="C21:C28" ca="1" si="3">C4*$C$16</f>
        <v>0</v>
      </c>
      <c r="D21" s="461">
        <f t="shared" ref="D21:D30" si="4">D4*$D$16</f>
        <v>24079.944225172883</v>
      </c>
      <c r="E21" s="461">
        <f t="shared" ref="E21:E30" si="5">E4*$E$16</f>
        <v>1309.94328916326</v>
      </c>
      <c r="F21" s="461">
        <f t="shared" ref="F21:F28" si="6">F4*$F$16</f>
        <v>5054.3923122284696</v>
      </c>
      <c r="G21" s="461">
        <f t="shared" ref="G21:G30" si="7">G4*$G$16</f>
        <v>0</v>
      </c>
      <c r="H21" s="461">
        <f t="shared" ref="H21:H30" si="8">H4*$H$16</f>
        <v>0</v>
      </c>
      <c r="I21" s="461">
        <f t="shared" ref="I21:I28" si="9">I4*$I$16</f>
        <v>0</v>
      </c>
      <c r="J21" s="461">
        <f t="shared" ref="J21:J28" si="10">J4*$J$16</f>
        <v>221.37597238479049</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39197.11645427037</v>
      </c>
    </row>
    <row r="22" spans="1:17">
      <c r="A22" s="460" t="s">
        <v>156</v>
      </c>
      <c r="B22" s="461">
        <f t="shared" ca="1" si="2"/>
        <v>5961.9165568422832</v>
      </c>
      <c r="C22" s="461">
        <f t="shared" ca="1" si="3"/>
        <v>0</v>
      </c>
      <c r="D22" s="461">
        <f t="shared" ca="1" si="4"/>
        <v>7413.2069314298569</v>
      </c>
      <c r="E22" s="461">
        <f t="shared" si="5"/>
        <v>107.27821937952902</v>
      </c>
      <c r="F22" s="461">
        <f t="shared" ca="1" si="6"/>
        <v>1644.3353998446839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15126.737107496352</v>
      </c>
    </row>
    <row r="23" spans="1:17">
      <c r="A23" s="460" t="s">
        <v>195</v>
      </c>
      <c r="B23" s="461">
        <f t="shared" ca="1" si="2"/>
        <v>461.8354228204916</v>
      </c>
      <c r="C23" s="461"/>
      <c r="D23" s="461"/>
      <c r="E23" s="461"/>
      <c r="F23" s="461"/>
      <c r="G23" s="461"/>
      <c r="H23" s="461"/>
      <c r="I23" s="461"/>
      <c r="J23" s="461"/>
      <c r="K23" s="461"/>
      <c r="L23" s="461"/>
      <c r="M23" s="461"/>
      <c r="N23" s="461"/>
      <c r="O23" s="461"/>
      <c r="P23" s="462"/>
      <c r="Q23" s="460">
        <f t="shared" ca="1" si="17"/>
        <v>461.8354228204916</v>
      </c>
    </row>
    <row r="24" spans="1:17">
      <c r="A24" s="460" t="s">
        <v>112</v>
      </c>
      <c r="B24" s="461">
        <f t="shared" ca="1" si="2"/>
        <v>338.96418659231523</v>
      </c>
      <c r="C24" s="461">
        <f t="shared" ca="1" si="3"/>
        <v>0</v>
      </c>
      <c r="D24" s="461">
        <f t="shared" si="4"/>
        <v>2489.1816786117879</v>
      </c>
      <c r="E24" s="461">
        <f t="shared" si="5"/>
        <v>4.2972995893604811</v>
      </c>
      <c r="F24" s="461">
        <f t="shared" si="6"/>
        <v>2479.0249800223914</v>
      </c>
      <c r="G24" s="461">
        <f t="shared" si="7"/>
        <v>0</v>
      </c>
      <c r="H24" s="461">
        <f t="shared" si="8"/>
        <v>0</v>
      </c>
      <c r="I24" s="461">
        <f t="shared" si="9"/>
        <v>0</v>
      </c>
      <c r="J24" s="461">
        <f t="shared" si="10"/>
        <v>57.151742000254515</v>
      </c>
      <c r="K24" s="461">
        <f t="shared" si="11"/>
        <v>0</v>
      </c>
      <c r="L24" s="461">
        <f t="shared" si="12"/>
        <v>0</v>
      </c>
      <c r="M24" s="461">
        <f t="shared" si="13"/>
        <v>0</v>
      </c>
      <c r="N24" s="461">
        <f t="shared" si="14"/>
        <v>0</v>
      </c>
      <c r="O24" s="461">
        <f t="shared" si="15"/>
        <v>0</v>
      </c>
      <c r="P24" s="462">
        <f t="shared" si="16"/>
        <v>0</v>
      </c>
      <c r="Q24" s="460">
        <f t="shared" ca="1" si="17"/>
        <v>5368.61988681611</v>
      </c>
    </row>
    <row r="25" spans="1:17">
      <c r="A25" s="460" t="s">
        <v>656</v>
      </c>
      <c r="B25" s="461">
        <f t="shared" ca="1" si="2"/>
        <v>15051.213318941684</v>
      </c>
      <c r="C25" s="461">
        <f t="shared" ca="1" si="3"/>
        <v>0</v>
      </c>
      <c r="D25" s="461">
        <f t="shared" si="4"/>
        <v>11415.929649895868</v>
      </c>
      <c r="E25" s="461">
        <f t="shared" si="5"/>
        <v>192.19291414717841</v>
      </c>
      <c r="F25" s="461">
        <f t="shared" si="6"/>
        <v>6133.7717982081476</v>
      </c>
      <c r="G25" s="461">
        <f t="shared" si="7"/>
        <v>0</v>
      </c>
      <c r="H25" s="461">
        <f t="shared" si="8"/>
        <v>0</v>
      </c>
      <c r="I25" s="461">
        <f t="shared" si="9"/>
        <v>0</v>
      </c>
      <c r="J25" s="461">
        <f t="shared" si="10"/>
        <v>169.10173021034979</v>
      </c>
      <c r="K25" s="461">
        <f t="shared" si="11"/>
        <v>0</v>
      </c>
      <c r="L25" s="461">
        <f t="shared" si="12"/>
        <v>0</v>
      </c>
      <c r="M25" s="461">
        <f t="shared" si="13"/>
        <v>0</v>
      </c>
      <c r="N25" s="461">
        <f t="shared" si="14"/>
        <v>0</v>
      </c>
      <c r="O25" s="461">
        <f t="shared" si="15"/>
        <v>0</v>
      </c>
      <c r="P25" s="462">
        <f t="shared" si="16"/>
        <v>0</v>
      </c>
      <c r="Q25" s="460">
        <f t="shared" ca="1" si="17"/>
        <v>32962.209411403222</v>
      </c>
    </row>
    <row r="26" spans="1:17" s="466" customFormat="1">
      <c r="A26" s="464" t="s">
        <v>574</v>
      </c>
      <c r="B26" s="822">
        <f t="shared" ca="1" si="2"/>
        <v>0.20375060707879539</v>
      </c>
      <c r="C26" s="465"/>
      <c r="D26" s="465">
        <f t="shared" si="4"/>
        <v>1.2069591138952804</v>
      </c>
      <c r="E26" s="465">
        <f t="shared" si="5"/>
        <v>144.08018122499044</v>
      </c>
      <c r="F26" s="465"/>
      <c r="G26" s="465">
        <f t="shared" si="7"/>
        <v>33336.519803338939</v>
      </c>
      <c r="H26" s="465">
        <f t="shared" si="8"/>
        <v>4978.151777596172</v>
      </c>
      <c r="I26" s="465"/>
      <c r="J26" s="465"/>
      <c r="K26" s="465"/>
      <c r="L26" s="465"/>
      <c r="M26" s="465">
        <f t="shared" si="13"/>
        <v>0</v>
      </c>
      <c r="N26" s="465"/>
      <c r="O26" s="465"/>
      <c r="P26" s="476"/>
      <c r="Q26" s="464">
        <f t="shared" ca="1" si="17"/>
        <v>38460.162471881071</v>
      </c>
    </row>
    <row r="27" spans="1:17">
      <c r="A27" s="460" t="s">
        <v>564</v>
      </c>
      <c r="B27" s="461">
        <f t="shared" ca="1" si="2"/>
        <v>0</v>
      </c>
      <c r="C27" s="461"/>
      <c r="D27" s="465">
        <f>D10*$D$16</f>
        <v>0</v>
      </c>
      <c r="E27" s="461"/>
      <c r="F27" s="461"/>
      <c r="G27" s="461">
        <f t="shared" si="7"/>
        <v>196.53290962814162</v>
      </c>
      <c r="H27" s="461"/>
      <c r="I27" s="461"/>
      <c r="J27" s="461"/>
      <c r="K27" s="461"/>
      <c r="L27" s="461"/>
      <c r="M27" s="461">
        <f t="shared" si="13"/>
        <v>0</v>
      </c>
      <c r="N27" s="461"/>
      <c r="O27" s="461"/>
      <c r="P27" s="462"/>
      <c r="Q27" s="460">
        <f t="shared" ca="1" si="17"/>
        <v>196.53290962814162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30345.593891124816</v>
      </c>
      <c r="C31" s="471">
        <f t="shared" ca="1" si="18"/>
        <v>0</v>
      </c>
      <c r="D31" s="471">
        <f t="shared" ca="1" si="18"/>
        <v>45399.469444224284</v>
      </c>
      <c r="E31" s="471">
        <f t="shared" si="18"/>
        <v>1757.7919035043185</v>
      </c>
      <c r="F31" s="471">
        <f t="shared" ca="1" si="18"/>
        <v>15311.524490303691</v>
      </c>
      <c r="G31" s="471">
        <f t="shared" si="18"/>
        <v>33533.052712967081</v>
      </c>
      <c r="H31" s="471">
        <f t="shared" si="18"/>
        <v>4978.151777596172</v>
      </c>
      <c r="I31" s="471">
        <f t="shared" si="18"/>
        <v>0</v>
      </c>
      <c r="J31" s="471">
        <f t="shared" si="18"/>
        <v>447.62944459539477</v>
      </c>
      <c r="K31" s="471">
        <f t="shared" si="18"/>
        <v>0</v>
      </c>
      <c r="L31" s="471">
        <f t="shared" ca="1" si="18"/>
        <v>0</v>
      </c>
      <c r="M31" s="471">
        <f t="shared" si="18"/>
        <v>0</v>
      </c>
      <c r="N31" s="471">
        <f t="shared" ca="1" si="18"/>
        <v>0</v>
      </c>
      <c r="O31" s="471">
        <f t="shared" si="18"/>
        <v>0</v>
      </c>
      <c r="P31" s="472">
        <f t="shared" si="18"/>
        <v>0</v>
      </c>
      <c r="Q31" s="472">
        <f t="shared" ca="1" si="18"/>
        <v>131773.21366431576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0.18750923073944817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1</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19.066666666666666</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0.18750923073944817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0.18750923073944817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36008</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11646</v>
      </c>
      <c r="C9" s="336">
        <v>12171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905</v>
      </c>
    </row>
    <row r="15" spans="1:6">
      <c r="A15" s="1251" t="s">
        <v>185</v>
      </c>
      <c r="B15" s="333">
        <v>5</v>
      </c>
    </row>
    <row r="16" spans="1:6">
      <c r="A16" s="1251" t="s">
        <v>6</v>
      </c>
      <c r="B16" s="333">
        <v>97</v>
      </c>
    </row>
    <row r="17" spans="1:6">
      <c r="A17" s="1251" t="s">
        <v>7</v>
      </c>
      <c r="B17" s="333">
        <v>165</v>
      </c>
    </row>
    <row r="18" spans="1:6">
      <c r="A18" s="1251" t="s">
        <v>8</v>
      </c>
      <c r="B18" s="333">
        <v>181</v>
      </c>
    </row>
    <row r="19" spans="1:6">
      <c r="A19" s="1251" t="s">
        <v>9</v>
      </c>
      <c r="B19" s="333">
        <v>179</v>
      </c>
    </row>
    <row r="20" spans="1:6">
      <c r="A20" s="1251" t="s">
        <v>10</v>
      </c>
      <c r="B20" s="333">
        <v>162</v>
      </c>
    </row>
    <row r="21" spans="1:6">
      <c r="A21" s="1251" t="s">
        <v>11</v>
      </c>
      <c r="B21" s="333">
        <v>3126</v>
      </c>
    </row>
    <row r="22" spans="1:6">
      <c r="A22" s="1251" t="s">
        <v>12</v>
      </c>
      <c r="B22" s="333">
        <v>14981</v>
      </c>
    </row>
    <row r="23" spans="1:6">
      <c r="A23" s="1251" t="s">
        <v>13</v>
      </c>
      <c r="B23" s="333">
        <v>136</v>
      </c>
    </row>
    <row r="24" spans="1:6">
      <c r="A24" s="1251" t="s">
        <v>14</v>
      </c>
      <c r="B24" s="333">
        <v>3</v>
      </c>
    </row>
    <row r="25" spans="1:6">
      <c r="A25" s="1251" t="s">
        <v>15</v>
      </c>
      <c r="B25" s="333">
        <v>695</v>
      </c>
    </row>
    <row r="26" spans="1:6">
      <c r="A26" s="1251" t="s">
        <v>16</v>
      </c>
      <c r="B26" s="333">
        <v>141</v>
      </c>
    </row>
    <row r="27" spans="1:6">
      <c r="A27" s="1251" t="s">
        <v>17</v>
      </c>
      <c r="B27" s="333">
        <v>7</v>
      </c>
    </row>
    <row r="28" spans="1:6">
      <c r="A28" s="1251" t="s">
        <v>18</v>
      </c>
      <c r="B28" s="333">
        <v>47385</v>
      </c>
    </row>
    <row r="29" spans="1:6">
      <c r="A29" s="1251" t="s">
        <v>925</v>
      </c>
      <c r="B29" s="333">
        <v>59</v>
      </c>
    </row>
    <row r="30" spans="1:6">
      <c r="A30" s="1247" t="s">
        <v>926</v>
      </c>
      <c r="B30" s="1247">
        <v>23</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13</v>
      </c>
      <c r="F36" s="333">
        <v>862545</v>
      </c>
    </row>
    <row r="37" spans="1:6">
      <c r="A37" s="1251" t="s">
        <v>25</v>
      </c>
      <c r="B37" s="1251" t="s">
        <v>28</v>
      </c>
      <c r="C37" s="333">
        <v>0</v>
      </c>
      <c r="D37" s="333">
        <v>0</v>
      </c>
      <c r="E37" s="333">
        <v>0</v>
      </c>
      <c r="F37" s="333">
        <v>0</v>
      </c>
    </row>
    <row r="38" spans="1:6">
      <c r="A38" s="1251" t="s">
        <v>25</v>
      </c>
      <c r="B38" s="1251" t="s">
        <v>29</v>
      </c>
      <c r="C38" s="333">
        <v>1</v>
      </c>
      <c r="D38" s="333">
        <v>215755.09023168799</v>
      </c>
      <c r="E38" s="333">
        <v>1</v>
      </c>
      <c r="F38" s="333">
        <v>63240</v>
      </c>
    </row>
    <row r="39" spans="1:6">
      <c r="A39" s="1251" t="s">
        <v>30</v>
      </c>
      <c r="B39" s="1251" t="s">
        <v>31</v>
      </c>
      <c r="C39" s="333">
        <v>8485</v>
      </c>
      <c r="D39" s="333">
        <v>132159251.30717701</v>
      </c>
      <c r="E39" s="333">
        <v>11648</v>
      </c>
      <c r="F39" s="333">
        <v>43221392</v>
      </c>
    </row>
    <row r="40" spans="1:6">
      <c r="A40" s="1251" t="s">
        <v>30</v>
      </c>
      <c r="B40" s="1251" t="s">
        <v>29</v>
      </c>
      <c r="C40" s="333">
        <v>0</v>
      </c>
      <c r="D40" s="333">
        <v>0</v>
      </c>
      <c r="E40" s="333">
        <v>0</v>
      </c>
      <c r="F40" s="333">
        <v>0</v>
      </c>
    </row>
    <row r="41" spans="1:6">
      <c r="A41" s="1251" t="s">
        <v>32</v>
      </c>
      <c r="B41" s="1251" t="s">
        <v>33</v>
      </c>
      <c r="C41" s="333">
        <v>145</v>
      </c>
      <c r="D41" s="333">
        <v>5577988.74354247</v>
      </c>
      <c r="E41" s="333">
        <v>324</v>
      </c>
      <c r="F41" s="333">
        <v>18476422</v>
      </c>
    </row>
    <row r="42" spans="1:6">
      <c r="A42" s="1251" t="s">
        <v>32</v>
      </c>
      <c r="B42" s="1251" t="s">
        <v>34</v>
      </c>
      <c r="C42" s="333">
        <v>0</v>
      </c>
      <c r="D42" s="333">
        <v>0</v>
      </c>
      <c r="E42" s="333">
        <v>5</v>
      </c>
      <c r="F42" s="333">
        <v>402553</v>
      </c>
    </row>
    <row r="43" spans="1:6">
      <c r="A43" s="1251" t="s">
        <v>32</v>
      </c>
      <c r="B43" s="1251" t="s">
        <v>35</v>
      </c>
      <c r="C43" s="333">
        <v>0</v>
      </c>
      <c r="D43" s="333">
        <v>0</v>
      </c>
      <c r="E43" s="333">
        <v>7</v>
      </c>
      <c r="F43" s="333">
        <v>292185</v>
      </c>
    </row>
    <row r="44" spans="1:6">
      <c r="A44" s="1251" t="s">
        <v>32</v>
      </c>
      <c r="B44" s="1251" t="s">
        <v>36</v>
      </c>
      <c r="C44" s="333">
        <v>16</v>
      </c>
      <c r="D44" s="333">
        <v>669630.51493363199</v>
      </c>
      <c r="E44" s="333">
        <v>75</v>
      </c>
      <c r="F44" s="333">
        <v>14939574</v>
      </c>
    </row>
    <row r="45" spans="1:6">
      <c r="A45" s="1251" t="s">
        <v>32</v>
      </c>
      <c r="B45" s="1251" t="s">
        <v>37</v>
      </c>
      <c r="C45" s="333">
        <v>0</v>
      </c>
      <c r="D45" s="333">
        <v>0</v>
      </c>
      <c r="E45" s="333">
        <v>8</v>
      </c>
      <c r="F45" s="333">
        <v>554838</v>
      </c>
    </row>
    <row r="46" spans="1:6">
      <c r="A46" s="1251" t="s">
        <v>32</v>
      </c>
      <c r="B46" s="1251" t="s">
        <v>38</v>
      </c>
      <c r="C46" s="333">
        <v>0</v>
      </c>
      <c r="D46" s="333">
        <v>0</v>
      </c>
      <c r="E46" s="333">
        <v>0</v>
      </c>
      <c r="F46" s="333">
        <v>0</v>
      </c>
    </row>
    <row r="47" spans="1:6">
      <c r="A47" s="1251" t="s">
        <v>32</v>
      </c>
      <c r="B47" s="1251" t="s">
        <v>39</v>
      </c>
      <c r="C47" s="333">
        <v>13</v>
      </c>
      <c r="D47" s="333">
        <v>1005056.33601414</v>
      </c>
      <c r="E47" s="333">
        <v>12</v>
      </c>
      <c r="F47" s="333">
        <v>1358114</v>
      </c>
    </row>
    <row r="48" spans="1:6">
      <c r="A48" s="1251" t="s">
        <v>32</v>
      </c>
      <c r="B48" s="1251" t="s">
        <v>29</v>
      </c>
      <c r="C48" s="333">
        <v>54</v>
      </c>
      <c r="D48" s="333">
        <v>52770853.008978099</v>
      </c>
      <c r="E48" s="333">
        <v>0</v>
      </c>
      <c r="F48" s="333">
        <v>0</v>
      </c>
    </row>
    <row r="49" spans="1:6">
      <c r="A49" s="1251" t="s">
        <v>32</v>
      </c>
      <c r="B49" s="1251" t="s">
        <v>40</v>
      </c>
      <c r="C49" s="333">
        <v>0</v>
      </c>
      <c r="D49" s="333">
        <v>0</v>
      </c>
      <c r="E49" s="333">
        <v>14</v>
      </c>
      <c r="F49" s="333">
        <v>4272584</v>
      </c>
    </row>
    <row r="50" spans="1:6">
      <c r="A50" s="1251" t="s">
        <v>32</v>
      </c>
      <c r="B50" s="1251" t="s">
        <v>41</v>
      </c>
      <c r="C50" s="333">
        <v>21</v>
      </c>
      <c r="D50" s="333">
        <v>2631131.2826805301</v>
      </c>
      <c r="E50" s="333">
        <v>39</v>
      </c>
      <c r="F50" s="333">
        <v>39972916</v>
      </c>
    </row>
    <row r="51" spans="1:6">
      <c r="A51" s="1251" t="s">
        <v>42</v>
      </c>
      <c r="B51" s="1251" t="s">
        <v>43</v>
      </c>
      <c r="C51" s="333">
        <v>13</v>
      </c>
      <c r="D51" s="333">
        <v>4329842.59467154</v>
      </c>
      <c r="E51" s="333">
        <v>83</v>
      </c>
      <c r="F51" s="333">
        <v>1807720</v>
      </c>
    </row>
    <row r="52" spans="1:6">
      <c r="A52" s="1251" t="s">
        <v>42</v>
      </c>
      <c r="B52" s="1251" t="s">
        <v>29</v>
      </c>
      <c r="C52" s="333">
        <v>5</v>
      </c>
      <c r="D52" s="333">
        <v>168962.345259769</v>
      </c>
      <c r="E52" s="333">
        <v>0</v>
      </c>
      <c r="F52" s="333">
        <v>0</v>
      </c>
    </row>
    <row r="53" spans="1:6">
      <c r="A53" s="1251" t="s">
        <v>44</v>
      </c>
      <c r="B53" s="1251" t="s">
        <v>45</v>
      </c>
      <c r="C53" s="333">
        <v>515</v>
      </c>
      <c r="D53" s="333">
        <v>9162704.5692550298</v>
      </c>
      <c r="E53" s="333">
        <v>0</v>
      </c>
      <c r="F53" s="333">
        <v>0</v>
      </c>
    </row>
    <row r="54" spans="1:6">
      <c r="A54" s="1251" t="s">
        <v>46</v>
      </c>
      <c r="B54" s="1251" t="s">
        <v>47</v>
      </c>
      <c r="C54" s="333">
        <v>0</v>
      </c>
      <c r="D54" s="333">
        <v>0</v>
      </c>
      <c r="E54" s="333">
        <v>169</v>
      </c>
      <c r="F54" s="333">
        <v>2463001</v>
      </c>
    </row>
    <row r="55" spans="1:6">
      <c r="A55" s="1251" t="s">
        <v>46</v>
      </c>
      <c r="B55" s="1251" t="s">
        <v>29</v>
      </c>
      <c r="C55" s="333">
        <v>0</v>
      </c>
      <c r="D55" s="333">
        <v>0</v>
      </c>
      <c r="E55" s="333">
        <v>0</v>
      </c>
      <c r="F55" s="333">
        <v>0</v>
      </c>
    </row>
    <row r="56" spans="1:6">
      <c r="A56" s="1251" t="s">
        <v>48</v>
      </c>
      <c r="B56" s="1251" t="s">
        <v>29</v>
      </c>
      <c r="C56" s="333">
        <v>0</v>
      </c>
      <c r="D56" s="333">
        <v>0</v>
      </c>
      <c r="E56" s="333">
        <v>230</v>
      </c>
      <c r="F56" s="333">
        <v>1412650</v>
      </c>
    </row>
    <row r="57" spans="1:6">
      <c r="A57" s="1251" t="s">
        <v>49</v>
      </c>
      <c r="B57" s="1251" t="s">
        <v>50</v>
      </c>
      <c r="C57" s="333">
        <v>75</v>
      </c>
      <c r="D57" s="333">
        <v>3704489.86717476</v>
      </c>
      <c r="E57" s="333">
        <v>126</v>
      </c>
      <c r="F57" s="333">
        <v>2277283</v>
      </c>
    </row>
    <row r="58" spans="1:6">
      <c r="A58" s="1251" t="s">
        <v>49</v>
      </c>
      <c r="B58" s="1251" t="s">
        <v>51</v>
      </c>
      <c r="C58" s="333">
        <v>36</v>
      </c>
      <c r="D58" s="333">
        <v>7091679.2129114196</v>
      </c>
      <c r="E58" s="333">
        <v>54</v>
      </c>
      <c r="F58" s="333">
        <v>4499408</v>
      </c>
    </row>
    <row r="59" spans="1:6">
      <c r="A59" s="1251" t="s">
        <v>49</v>
      </c>
      <c r="B59" s="1251" t="s">
        <v>52</v>
      </c>
      <c r="C59" s="333">
        <v>176</v>
      </c>
      <c r="D59" s="333">
        <v>7026168.2855528696</v>
      </c>
      <c r="E59" s="333">
        <v>416</v>
      </c>
      <c r="F59" s="333">
        <v>14721106</v>
      </c>
    </row>
    <row r="60" spans="1:6">
      <c r="A60" s="1251" t="s">
        <v>49</v>
      </c>
      <c r="B60" s="1251" t="s">
        <v>53</v>
      </c>
      <c r="C60" s="333">
        <v>79</v>
      </c>
      <c r="D60" s="333">
        <v>3283359.9932576199</v>
      </c>
      <c r="E60" s="333">
        <v>99</v>
      </c>
      <c r="F60" s="333">
        <v>2533359</v>
      </c>
    </row>
    <row r="61" spans="1:6">
      <c r="A61" s="1251" t="s">
        <v>49</v>
      </c>
      <c r="B61" s="1251" t="s">
        <v>54</v>
      </c>
      <c r="C61" s="333">
        <v>214</v>
      </c>
      <c r="D61" s="333">
        <v>10749520.8659804</v>
      </c>
      <c r="E61" s="333">
        <v>447</v>
      </c>
      <c r="F61" s="333">
        <v>6788045</v>
      </c>
    </row>
    <row r="62" spans="1:6">
      <c r="A62" s="1251" t="s">
        <v>49</v>
      </c>
      <c r="B62" s="1251" t="s">
        <v>55</v>
      </c>
      <c r="C62" s="333">
        <v>19</v>
      </c>
      <c r="D62" s="333">
        <v>4745648.7579680998</v>
      </c>
      <c r="E62" s="333">
        <v>21</v>
      </c>
      <c r="F62" s="333">
        <v>976122</v>
      </c>
    </row>
    <row r="63" spans="1:6">
      <c r="A63" s="1251" t="s">
        <v>49</v>
      </c>
      <c r="B63" s="1251" t="s">
        <v>29</v>
      </c>
      <c r="C63" s="333">
        <v>84</v>
      </c>
      <c r="D63" s="333">
        <v>4085434.8076196699</v>
      </c>
      <c r="E63" s="333">
        <v>0</v>
      </c>
      <c r="F63" s="333">
        <v>0</v>
      </c>
    </row>
    <row r="64" spans="1:6">
      <c r="A64" s="1251" t="s">
        <v>56</v>
      </c>
      <c r="B64" s="1251" t="s">
        <v>57</v>
      </c>
      <c r="C64" s="333">
        <v>0</v>
      </c>
      <c r="D64" s="333">
        <v>0</v>
      </c>
      <c r="E64" s="333">
        <v>0</v>
      </c>
      <c r="F64" s="333">
        <v>0</v>
      </c>
    </row>
    <row r="65" spans="1:6">
      <c r="A65" s="1251" t="s">
        <v>56</v>
      </c>
      <c r="B65" s="1251" t="s">
        <v>29</v>
      </c>
      <c r="C65" s="333">
        <v>5</v>
      </c>
      <c r="D65" s="333">
        <v>124521.117101792</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11</v>
      </c>
      <c r="F67" s="333">
        <v>525976</v>
      </c>
    </row>
    <row r="68" spans="1:6">
      <c r="A68" s="1247" t="s">
        <v>56</v>
      </c>
      <c r="B68" s="1247" t="s">
        <v>60</v>
      </c>
      <c r="C68" s="333">
        <v>9</v>
      </c>
      <c r="D68" s="333">
        <v>908168.23286304902</v>
      </c>
      <c r="E68" s="333">
        <v>29</v>
      </c>
      <c r="F68" s="333">
        <v>1061865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49671522</v>
      </c>
      <c r="E73" s="333">
        <v>47826191.951063886</v>
      </c>
      <c r="F73" s="333">
        <v>49435769</v>
      </c>
    </row>
    <row r="74" spans="1:6">
      <c r="A74" s="1251" t="s">
        <v>64</v>
      </c>
      <c r="B74" s="1251" t="s">
        <v>775</v>
      </c>
      <c r="C74" s="1262" t="s">
        <v>776</v>
      </c>
      <c r="D74" s="333">
        <v>6727256.5164649673</v>
      </c>
      <c r="E74" s="333">
        <v>6593472.5585257467</v>
      </c>
      <c r="F74" s="333">
        <v>6783255.5767723937</v>
      </c>
    </row>
    <row r="75" spans="1:6">
      <c r="A75" s="1251" t="s">
        <v>65</v>
      </c>
      <c r="B75" s="1251" t="s">
        <v>773</v>
      </c>
      <c r="C75" s="1262" t="s">
        <v>777</v>
      </c>
      <c r="D75" s="333">
        <v>45365389</v>
      </c>
      <c r="E75" s="333">
        <v>43244483.073238611</v>
      </c>
      <c r="F75" s="333">
        <v>44891168</v>
      </c>
    </row>
    <row r="76" spans="1:6">
      <c r="A76" s="1251" t="s">
        <v>65</v>
      </c>
      <c r="B76" s="1251" t="s">
        <v>775</v>
      </c>
      <c r="C76" s="1262" t="s">
        <v>778</v>
      </c>
      <c r="D76" s="333">
        <v>3920426.5164649673</v>
      </c>
      <c r="E76" s="333">
        <v>3803606.0859741108</v>
      </c>
      <c r="F76" s="333">
        <v>3921059.5767723941</v>
      </c>
    </row>
    <row r="77" spans="1:6">
      <c r="A77" s="1251" t="s">
        <v>66</v>
      </c>
      <c r="B77" s="1251" t="s">
        <v>773</v>
      </c>
      <c r="C77" s="1262" t="s">
        <v>779</v>
      </c>
      <c r="D77" s="333">
        <v>41061856</v>
      </c>
      <c r="E77" s="333">
        <v>47373994.179091685</v>
      </c>
      <c r="F77" s="333">
        <v>41719236</v>
      </c>
    </row>
    <row r="78" spans="1:6">
      <c r="A78" s="1247" t="s">
        <v>66</v>
      </c>
      <c r="B78" s="1247" t="s">
        <v>775</v>
      </c>
      <c r="C78" s="1247" t="s">
        <v>780</v>
      </c>
      <c r="D78" s="1247">
        <v>7477489</v>
      </c>
      <c r="E78" s="1247">
        <v>7890059.5638286248</v>
      </c>
      <c r="F78" s="336">
        <v>7543692</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201812.96707006541</v>
      </c>
      <c r="C83" s="333">
        <v>181823.84362397899</v>
      </c>
      <c r="D83" s="333">
        <v>180284.84645521207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20813.545105066914</v>
      </c>
    </row>
    <row r="91" spans="1:6">
      <c r="A91" s="1251" t="s">
        <v>68</v>
      </c>
      <c r="B91" s="333">
        <v>2277.4915572355635</v>
      </c>
    </row>
    <row r="92" spans="1:6">
      <c r="A92" s="1247" t="s">
        <v>69</v>
      </c>
      <c r="B92" s="336">
        <v>1433.7839134928724</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6493</v>
      </c>
    </row>
    <row r="98" spans="1:6">
      <c r="A98" s="1251" t="s">
        <v>72</v>
      </c>
      <c r="B98" s="333">
        <v>1</v>
      </c>
    </row>
    <row r="99" spans="1:6">
      <c r="A99" s="1251" t="s">
        <v>73</v>
      </c>
      <c r="B99" s="333">
        <v>111</v>
      </c>
    </row>
    <row r="100" spans="1:6">
      <c r="A100" s="1251" t="s">
        <v>74</v>
      </c>
      <c r="B100" s="333">
        <v>642</v>
      </c>
    </row>
    <row r="101" spans="1:6">
      <c r="A101" s="1251" t="s">
        <v>75</v>
      </c>
      <c r="B101" s="333">
        <v>159</v>
      </c>
    </row>
    <row r="102" spans="1:6">
      <c r="A102" s="1251" t="s">
        <v>76</v>
      </c>
      <c r="B102" s="333">
        <v>177</v>
      </c>
    </row>
    <row r="103" spans="1:6">
      <c r="A103" s="1251" t="s">
        <v>77</v>
      </c>
      <c r="B103" s="333">
        <v>221</v>
      </c>
    </row>
    <row r="104" spans="1:6">
      <c r="A104" s="1251" t="s">
        <v>78</v>
      </c>
      <c r="B104" s="333">
        <v>2623</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2</v>
      </c>
    </row>
    <row r="111" spans="1:6">
      <c r="A111" s="1247" t="s">
        <v>671</v>
      </c>
      <c r="B111" s="1247">
        <v>1</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9</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74</v>
      </c>
    </row>
    <row r="130" spans="1:6">
      <c r="A130" s="1251" t="s">
        <v>296</v>
      </c>
      <c r="B130" s="333">
        <v>3</v>
      </c>
    </row>
    <row r="131" spans="1:6">
      <c r="A131" s="1251" t="s">
        <v>297</v>
      </c>
      <c r="B131" s="333">
        <v>2</v>
      </c>
    </row>
    <row r="132" spans="1:6">
      <c r="A132" s="1247" t="s">
        <v>298</v>
      </c>
      <c r="B132" s="336">
        <v>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161835.20017364516</v>
      </c>
      <c r="C3" s="43" t="s">
        <v>171</v>
      </c>
      <c r="D3" s="43"/>
      <c r="E3" s="156"/>
      <c r="F3" s="43"/>
      <c r="G3" s="43"/>
      <c r="H3" s="43"/>
      <c r="I3" s="43"/>
      <c r="J3" s="43"/>
      <c r="K3" s="96"/>
    </row>
    <row r="4" spans="1:11">
      <c r="A4" s="364" t="s">
        <v>172</v>
      </c>
      <c r="B4" s="49">
        <f>IF(ISERROR('SEAP template'!B69),0,'SEAP template'!B69)</f>
        <v>24524.820575795351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0.18750923073944817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2463.0010000000002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2463.0010000000002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0.18750923073944817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461.8354228204916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43221.392</v>
      </c>
      <c r="C5" s="17">
        <f>IF(ISERROR('Eigen informatie GS &amp; warmtenet'!B57),0,'Eigen informatie GS &amp; warmtenet'!B57)</f>
        <v>0</v>
      </c>
      <c r="D5" s="30">
        <f>(SUM(HH_hh_gas_kWh,HH_rest_gas_kWh)/1000)*0.902</f>
        <v>119207.64467907367</v>
      </c>
      <c r="E5" s="17">
        <f>B46*B57</f>
        <v>5770.675282657533</v>
      </c>
      <c r="F5" s="17">
        <f>B51*B62</f>
        <v>18930.308285499887</v>
      </c>
      <c r="G5" s="18"/>
      <c r="H5" s="17"/>
      <c r="I5" s="17"/>
      <c r="J5" s="17">
        <f>B50*B61+C50*C61</f>
        <v>625.35585419432346</v>
      </c>
      <c r="K5" s="17"/>
      <c r="L5" s="17"/>
      <c r="M5" s="17"/>
      <c r="N5" s="17">
        <f>B48*B59+C48*C59</f>
        <v>23916.668478555326</v>
      </c>
      <c r="O5" s="17">
        <f>B69*B70*B71</f>
        <v>131.32000000000002</v>
      </c>
      <c r="P5" s="17">
        <f>B77*B78*B79/1000-B77*B78*B79/1000/B80</f>
        <v>76.266666666666666</v>
      </c>
    </row>
    <row r="6" spans="1:16">
      <c r="A6" s="16" t="s">
        <v>633</v>
      </c>
      <c r="B6" s="830">
        <f>kWh_PV_kleiner_dan_10kW</f>
        <v>2277.4915572355635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45498.88355723556</v>
      </c>
      <c r="C8" s="21">
        <f>C5</f>
        <v>0</v>
      </c>
      <c r="D8" s="21">
        <f>D5</f>
        <v>119207.64467907367</v>
      </c>
      <c r="E8" s="21">
        <f>E5</f>
        <v>5770.675282657533</v>
      </c>
      <c r="F8" s="21">
        <f>F5</f>
        <v>18930.308285499887</v>
      </c>
      <c r="G8" s="21"/>
      <c r="H8" s="21"/>
      <c r="I8" s="21"/>
      <c r="J8" s="21">
        <f>J5</f>
        <v>625.35585419432346</v>
      </c>
      <c r="K8" s="21"/>
      <c r="L8" s="21">
        <f>L5</f>
        <v>0</v>
      </c>
      <c r="M8" s="21">
        <f>M5</f>
        <v>0</v>
      </c>
      <c r="N8" s="21">
        <f>N5</f>
        <v>23916.668478555326</v>
      </c>
      <c r="O8" s="21">
        <f>O5</f>
        <v>131.32000000000002</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0.18750923073944817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8531.4606553209669</v>
      </c>
      <c r="C12" s="23">
        <f ca="1">C10*C8</f>
        <v>0</v>
      </c>
      <c r="D12" s="23">
        <f>D8*D10</f>
        <v>24079.944225172883</v>
      </c>
      <c r="E12" s="23">
        <f>E10*E8</f>
        <v>1309.94328916326</v>
      </c>
      <c r="F12" s="23">
        <f>F10*F8</f>
        <v>5054.3923122284696</v>
      </c>
      <c r="G12" s="23"/>
      <c r="H12" s="23"/>
      <c r="I12" s="23"/>
      <c r="J12" s="23">
        <f>J10*J8</f>
        <v>221.37597238479049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6493</v>
      </c>
      <c r="C18" s="167" t="s">
        <v>111</v>
      </c>
      <c r="D18" s="229"/>
      <c r="E18" s="15"/>
    </row>
    <row r="19" spans="1:7">
      <c r="A19" s="172" t="s">
        <v>72</v>
      </c>
      <c r="B19" s="37">
        <f>aantalw2001_ander</f>
        <v>1</v>
      </c>
      <c r="C19" s="167" t="s">
        <v>111</v>
      </c>
      <c r="D19" s="230"/>
      <c r="E19" s="15"/>
    </row>
    <row r="20" spans="1:7">
      <c r="A20" s="172" t="s">
        <v>73</v>
      </c>
      <c r="B20" s="37">
        <f>aantalw2001_propaan</f>
        <v>111</v>
      </c>
      <c r="C20" s="168">
        <f>IF(ISERROR(B20/SUM($B$20,$B$21,$B$22)*100),0,B20/SUM($B$20,$B$21,$B$22)*100)</f>
        <v>12.171052631578947</v>
      </c>
      <c r="D20" s="230"/>
      <c r="E20" s="15"/>
    </row>
    <row r="21" spans="1:7">
      <c r="A21" s="172" t="s">
        <v>74</v>
      </c>
      <c r="B21" s="37">
        <f>aantalw2001_elektriciteit</f>
        <v>642</v>
      </c>
      <c r="C21" s="168">
        <f>IF(ISERROR(B21/SUM($B$20,$B$21,$B$22)*100),0,B21/SUM($B$20,$B$21,$B$22)*100)</f>
        <v>70.39473684210526</v>
      </c>
      <c r="D21" s="230"/>
      <c r="E21" s="15"/>
    </row>
    <row r="22" spans="1:7">
      <c r="A22" s="172" t="s">
        <v>75</v>
      </c>
      <c r="B22" s="37">
        <f>aantalw2001_hout</f>
        <v>159</v>
      </c>
      <c r="C22" s="168">
        <f>IF(ISERROR(B22/SUM($B$20,$B$21,$B$22)*100),0,B22/SUM($B$20,$B$21,$B$22)*100)</f>
        <v>17.434210526315788</v>
      </c>
      <c r="D22" s="230"/>
      <c r="E22" s="15"/>
    </row>
    <row r="23" spans="1:7">
      <c r="A23" s="172" t="s">
        <v>76</v>
      </c>
      <c r="B23" s="37">
        <f>aantalw2001_niet_gespec</f>
        <v>177</v>
      </c>
      <c r="C23" s="167" t="s">
        <v>111</v>
      </c>
      <c r="D23" s="229"/>
      <c r="E23" s="15"/>
    </row>
    <row r="24" spans="1:7">
      <c r="A24" s="172" t="s">
        <v>77</v>
      </c>
      <c r="B24" s="37">
        <f>aantalw2001_steenkool</f>
        <v>221</v>
      </c>
      <c r="C24" s="167" t="s">
        <v>111</v>
      </c>
      <c r="D24" s="230"/>
      <c r="E24" s="15"/>
    </row>
    <row r="25" spans="1:7">
      <c r="A25" s="172" t="s">
        <v>78</v>
      </c>
      <c r="B25" s="37">
        <f>aantalw2001_stookolie</f>
        <v>2623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11646</v>
      </c>
      <c r="C28" s="36"/>
      <c r="D28" s="229"/>
    </row>
    <row r="29" spans="1:7" s="15" customFormat="1">
      <c r="A29" s="231" t="s">
        <v>714</v>
      </c>
      <c r="B29" s="37">
        <f>SUM(HH_hh_gas_aantal,HH_rest_gas_aantal)</f>
        <v>8485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8485</v>
      </c>
      <c r="C32" s="168">
        <f>IF(ISERROR(B32/SUM($B$32,$B$34,$B$35,$B$36,$B$38,$B$39)*100),0,B32/SUM($B$32,$B$34,$B$35,$B$36,$B$38,$B$39)*100)</f>
        <v>72.882666208555236</v>
      </c>
      <c r="D32" s="234"/>
      <c r="G32" s="15"/>
    </row>
    <row r="33" spans="1:7">
      <c r="A33" s="172" t="s">
        <v>72</v>
      </c>
      <c r="B33" s="34" t="s">
        <v>111</v>
      </c>
      <c r="C33" s="168"/>
      <c r="D33" s="234"/>
      <c r="G33" s="15"/>
    </row>
    <row r="34" spans="1:7">
      <c r="A34" s="172" t="s">
        <v>73</v>
      </c>
      <c r="B34" s="33">
        <f>IF((($B$28-$B$32-$B$39-$B$77-$B$38)*C20/100)&lt;0,0,($B$28-$B$32-$B$39-$B$77-$B$38)*C20/100)</f>
        <v>280.54276315789474</v>
      </c>
      <c r="C34" s="168">
        <f>IF(ISERROR(B34/SUM($B$32,$B$34,$B$35,$B$36,$B$38,$B$39)*100),0,B34/SUM($B$32,$B$34,$B$35,$B$36,$B$38,$B$39)*100)</f>
        <v>2.4097471496125644</v>
      </c>
      <c r="D34" s="234"/>
      <c r="G34" s="15"/>
    </row>
    <row r="35" spans="1:7">
      <c r="A35" s="172" t="s">
        <v>74</v>
      </c>
      <c r="B35" s="33">
        <f>IF((($B$28-$B$32-$B$39-$B$77-$B$38)*C21/100)&lt;0,0,($B$28-$B$32-$B$39-$B$77-$B$38)*C21/100)</f>
        <v>1622.598684210526</v>
      </c>
      <c r="C35" s="168">
        <f>IF(ISERROR(B35/SUM($B$32,$B$34,$B$35,$B$36,$B$38,$B$39)*100),0,B35/SUM($B$32,$B$34,$B$35,$B$36,$B$38,$B$39)*100)</f>
        <v>13.937456486948344</v>
      </c>
      <c r="D35" s="234"/>
      <c r="G35" s="15"/>
    </row>
    <row r="36" spans="1:7">
      <c r="A36" s="172" t="s">
        <v>75</v>
      </c>
      <c r="B36" s="33">
        <f>IF((($B$28-$B$32-$B$39-$B$77-$B$38)*C22/100)&lt;0,0,($B$28-$B$32-$B$39-$B$77-$B$38)*C22/100)</f>
        <v>401.85855263157896</v>
      </c>
      <c r="C36" s="168">
        <f>IF(ISERROR(B36/SUM($B$32,$B$34,$B$35,$B$36,$B$38,$B$39)*100),0,B36/SUM($B$32,$B$34,$B$35,$B$36,$B$38,$B$39)*100)</f>
        <v>3.4517999710666465</v>
      </c>
      <c r="D36" s="234"/>
      <c r="G36" s="15"/>
    </row>
    <row r="37" spans="1:7">
      <c r="A37" s="172" t="s">
        <v>76</v>
      </c>
      <c r="B37" s="34" t="s">
        <v>111</v>
      </c>
      <c r="C37" s="168"/>
      <c r="D37" s="174"/>
      <c r="G37" s="15"/>
    </row>
    <row r="38" spans="1:7">
      <c r="A38" s="172" t="s">
        <v>77</v>
      </c>
      <c r="B38" s="33">
        <f>IF((B24-(B29-B18)*0.1)&lt;0,0,B24-(B29-B18)*0.1)</f>
        <v>21.799999999999983</v>
      </c>
      <c r="C38" s="168">
        <f>IF(ISERROR(B38/SUM($B$32,$B$34,$B$35,$B$36,$B$38,$B$39)*100),0,B38/SUM($B$32,$B$34,$B$35,$B$36,$B$38,$B$39)*100)</f>
        <v>0.18725304930424311</v>
      </c>
      <c r="D38" s="235"/>
      <c r="G38" s="15"/>
    </row>
    <row r="39" spans="1:7">
      <c r="A39" s="172" t="s">
        <v>78</v>
      </c>
      <c r="B39" s="33">
        <f>IF((B25-(B29-B18))&lt;0,0,B25-(B29-B18)*0.9)</f>
        <v>830.2</v>
      </c>
      <c r="C39" s="168">
        <f>IF(ISERROR(B39/SUM($B$32,$B$34,$B$35,$B$36,$B$38,$B$39)*100),0,B39/SUM($B$32,$B$34,$B$35,$B$36,$B$38,$B$39)*100)</f>
        <v>7.1310771345129709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8485</v>
      </c>
      <c r="C44" s="34" t="s">
        <v>111</v>
      </c>
      <c r="D44" s="175"/>
    </row>
    <row r="45" spans="1:7">
      <c r="A45" s="172" t="s">
        <v>72</v>
      </c>
      <c r="B45" s="33" t="str">
        <f t="shared" si="0"/>
        <v>-</v>
      </c>
      <c r="C45" s="34" t="s">
        <v>111</v>
      </c>
      <c r="D45" s="175"/>
    </row>
    <row r="46" spans="1:7">
      <c r="A46" s="172" t="s">
        <v>73</v>
      </c>
      <c r="B46" s="33">
        <f t="shared" si="0"/>
        <v>280.54276315789474</v>
      </c>
      <c r="C46" s="34" t="s">
        <v>111</v>
      </c>
      <c r="D46" s="175"/>
    </row>
    <row r="47" spans="1:7">
      <c r="A47" s="172" t="s">
        <v>74</v>
      </c>
      <c r="B47" s="33">
        <f t="shared" si="0"/>
        <v>1622.598684210526</v>
      </c>
      <c r="C47" s="34" t="s">
        <v>111</v>
      </c>
      <c r="D47" s="175"/>
    </row>
    <row r="48" spans="1:7">
      <c r="A48" s="172" t="s">
        <v>75</v>
      </c>
      <c r="B48" s="33">
        <f t="shared" si="0"/>
        <v>401.85855263157896</v>
      </c>
      <c r="C48" s="33">
        <f>B48*10</f>
        <v>4018.5855263157896</v>
      </c>
      <c r="D48" s="235"/>
    </row>
    <row r="49" spans="1:6">
      <c r="A49" s="172" t="s">
        <v>76</v>
      </c>
      <c r="B49" s="33" t="str">
        <f t="shared" si="0"/>
        <v>-</v>
      </c>
      <c r="C49" s="34" t="s">
        <v>111</v>
      </c>
      <c r="D49" s="235"/>
    </row>
    <row r="50" spans="1:6">
      <c r="A50" s="172" t="s">
        <v>77</v>
      </c>
      <c r="B50" s="33">
        <f t="shared" si="0"/>
        <v>21.799999999999983</v>
      </c>
      <c r="C50" s="33">
        <f>B50*2</f>
        <v>43.599999999999966</v>
      </c>
      <c r="D50" s="235"/>
    </row>
    <row r="51" spans="1:6">
      <c r="A51" s="172" t="s">
        <v>78</v>
      </c>
      <c r="B51" s="33">
        <f t="shared" si="0"/>
        <v>830.2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31795.323</v>
      </c>
      <c r="C5" s="17">
        <f>IF(ISERROR('Eigen informatie GS &amp; warmtenet'!B58),0,'Eigen informatie GS &amp; warmtenet'!B58)</f>
        <v>0</v>
      </c>
      <c r="D5" s="30">
        <f>SUM(D6:D12)</f>
        <v>36699.044214999289</v>
      </c>
      <c r="E5" s="17">
        <f>SUM(E6:E12)</f>
        <v>472.59127479968731</v>
      </c>
      <c r="F5" s="17">
        <f>SUM(F6:F12)</f>
        <v>6158.5595499800893</v>
      </c>
      <c r="G5" s="18"/>
      <c r="H5" s="17"/>
      <c r="I5" s="17"/>
      <c r="J5" s="17">
        <f>SUM(J6:J12)</f>
        <v>0</v>
      </c>
      <c r="K5" s="17"/>
      <c r="L5" s="17"/>
      <c r="M5" s="17"/>
      <c r="N5" s="17">
        <f>SUM(N6:N12)</f>
        <v>625.98211379885674</v>
      </c>
      <c r="O5" s="17">
        <f>B38*B39*B40</f>
        <v>4.6900000000000004</v>
      </c>
      <c r="P5" s="17">
        <f>B46*B47*B48/1000-B46*B47*B48/1000/B49</f>
        <v>38.133333333333333</v>
      </c>
      <c r="R5" s="32"/>
    </row>
    <row r="6" spans="1:18">
      <c r="A6" s="32" t="s">
        <v>54</v>
      </c>
      <c r="B6" s="37">
        <f>B26</f>
        <v>6788.0450000000001</v>
      </c>
      <c r="C6" s="33"/>
      <c r="D6" s="37">
        <f>IF(ISERROR(TER_kantoor_gas_kWh/1000),0,TER_kantoor_gas_kWh/1000)*0.902</f>
        <v>9696.0678211143204</v>
      </c>
      <c r="E6" s="33">
        <f>$C$26*'E Balans VL '!I12/100/3.6*1000000</f>
        <v>237.60827744917864</v>
      </c>
      <c r="F6" s="33">
        <f>$C$26*('E Balans VL '!L12+'E Balans VL '!N12)/100/3.6*1000000</f>
        <v>1029.2133598980495</v>
      </c>
      <c r="G6" s="34"/>
      <c r="H6" s="33"/>
      <c r="I6" s="33"/>
      <c r="J6" s="33">
        <f>$C$26*('E Balans VL '!D12+'E Balans VL '!E12)/100/3.6*1000000</f>
        <v>0</v>
      </c>
      <c r="K6" s="33"/>
      <c r="L6" s="33"/>
      <c r="M6" s="33"/>
      <c r="N6" s="33">
        <f>$C$26*'E Balans VL '!Y12/100/3.6*1000000</f>
        <v>52.46946325038661</v>
      </c>
      <c r="O6" s="33"/>
      <c r="P6" s="33"/>
      <c r="R6" s="32"/>
    </row>
    <row r="7" spans="1:18">
      <c r="A7" s="32" t="s">
        <v>53</v>
      </c>
      <c r="B7" s="37">
        <f t="shared" ref="B7:B12" si="0">B27</f>
        <v>2533.3589999999999</v>
      </c>
      <c r="C7" s="33"/>
      <c r="D7" s="37">
        <f>IF(ISERROR(TER_horeca_gas_kWh/1000),0,TER_horeca_gas_kWh/1000)*0.902</f>
        <v>2961.5907139183732</v>
      </c>
      <c r="E7" s="33">
        <f>$C$27*'E Balans VL '!I9/100/3.6*1000000</f>
        <v>142.91513307089778</v>
      </c>
      <c r="F7" s="33">
        <f>$C$27*('E Balans VL '!L9+'E Balans VL '!N9)/100/3.6*1000000</f>
        <v>441.32515758871159</v>
      </c>
      <c r="G7" s="34"/>
      <c r="H7" s="33"/>
      <c r="I7" s="33"/>
      <c r="J7" s="33">
        <f>$C$27*('E Balans VL '!D9+'E Balans VL '!E9)/100/3.6*1000000</f>
        <v>0</v>
      </c>
      <c r="K7" s="33"/>
      <c r="L7" s="33"/>
      <c r="M7" s="33"/>
      <c r="N7" s="33">
        <f>$C$27*'E Balans VL '!Y9/100/3.6*1000000</f>
        <v>0</v>
      </c>
      <c r="O7" s="33"/>
      <c r="P7" s="33"/>
      <c r="R7" s="32"/>
    </row>
    <row r="8" spans="1:18">
      <c r="A8" s="6" t="s">
        <v>52</v>
      </c>
      <c r="B8" s="37">
        <f t="shared" si="0"/>
        <v>14721.106</v>
      </c>
      <c r="C8" s="33"/>
      <c r="D8" s="37">
        <f>IF(ISERROR(TER_handel_gas_kWh/1000),0,TER_handel_gas_kWh/1000)*0.902</f>
        <v>6337.6037935686891</v>
      </c>
      <c r="E8" s="33">
        <f>$C$28*'E Balans VL '!I13/100/3.6*1000000</f>
        <v>75.576662561322266</v>
      </c>
      <c r="F8" s="33">
        <f>$C$28*('E Balans VL '!L13+'E Balans VL '!N13)/100/3.6*1000000</f>
        <v>2269.7670807620561</v>
      </c>
      <c r="G8" s="34"/>
      <c r="H8" s="33"/>
      <c r="I8" s="33"/>
      <c r="J8" s="33">
        <f>$C$28*('E Balans VL '!D13+'E Balans VL '!E13)/100/3.6*1000000</f>
        <v>0</v>
      </c>
      <c r="K8" s="33"/>
      <c r="L8" s="33"/>
      <c r="M8" s="33"/>
      <c r="N8" s="33">
        <f>$C$28*'E Balans VL '!Y13/100/3.6*1000000</f>
        <v>6.8852409714863896</v>
      </c>
      <c r="O8" s="33"/>
      <c r="P8" s="33"/>
      <c r="R8" s="32"/>
    </row>
    <row r="9" spans="1:18">
      <c r="A9" s="32" t="s">
        <v>51</v>
      </c>
      <c r="B9" s="37">
        <f t="shared" si="0"/>
        <v>4499.4080000000004</v>
      </c>
      <c r="C9" s="33"/>
      <c r="D9" s="37">
        <f>IF(ISERROR(TER_gezond_gas_kWh/1000),0,TER_gezond_gas_kWh/1000)*0.902</f>
        <v>6396.6946500460999</v>
      </c>
      <c r="E9" s="33">
        <f>$C$29*'E Balans VL '!I10/100/3.6*1000000</f>
        <v>1.8649725723646613</v>
      </c>
      <c r="F9" s="33">
        <f>$C$29*('E Balans VL '!L10+'E Balans VL '!N10)/100/3.6*1000000</f>
        <v>1108.1396602814448</v>
      </c>
      <c r="G9" s="34"/>
      <c r="H9" s="33"/>
      <c r="I9" s="33"/>
      <c r="J9" s="33">
        <f>$C$29*('E Balans VL '!D10+'E Balans VL '!E10)/100/3.6*1000000</f>
        <v>0</v>
      </c>
      <c r="K9" s="33"/>
      <c r="L9" s="33"/>
      <c r="M9" s="33"/>
      <c r="N9" s="33">
        <f>$C$29*'E Balans VL '!Y10/100/3.6*1000000</f>
        <v>38.886021717756243</v>
      </c>
      <c r="O9" s="33"/>
      <c r="P9" s="33"/>
      <c r="R9" s="32"/>
    </row>
    <row r="10" spans="1:18">
      <c r="A10" s="32" t="s">
        <v>50</v>
      </c>
      <c r="B10" s="37">
        <f t="shared" si="0"/>
        <v>2277.2829999999999</v>
      </c>
      <c r="C10" s="33"/>
      <c r="D10" s="37">
        <f>IF(ISERROR(TER_ander_gas_kWh/1000),0,TER_ander_gas_kWh/1000)*0.902</f>
        <v>3341.4498601916339</v>
      </c>
      <c r="E10" s="33">
        <f>$C$30*'E Balans VL '!I14/100/3.6*1000000</f>
        <v>13.882373354714471</v>
      </c>
      <c r="F10" s="33">
        <f>$C$30*('E Balans VL '!L14+'E Balans VL '!N14)/100/3.6*1000000</f>
        <v>603.73891853847033</v>
      </c>
      <c r="G10" s="34"/>
      <c r="H10" s="33"/>
      <c r="I10" s="33"/>
      <c r="J10" s="33">
        <f>$C$30*('E Balans VL '!D14+'E Balans VL '!E14)/100/3.6*1000000</f>
        <v>0</v>
      </c>
      <c r="K10" s="33"/>
      <c r="L10" s="33"/>
      <c r="M10" s="33"/>
      <c r="N10" s="33">
        <f>$C$30*'E Balans VL '!Y14/100/3.6*1000000</f>
        <v>524.86452303632052</v>
      </c>
      <c r="O10" s="33"/>
      <c r="P10" s="33"/>
      <c r="R10" s="32"/>
    </row>
    <row r="11" spans="1:18">
      <c r="A11" s="32" t="s">
        <v>55</v>
      </c>
      <c r="B11" s="37">
        <f t="shared" si="0"/>
        <v>976.12199999999996</v>
      </c>
      <c r="C11" s="33"/>
      <c r="D11" s="37">
        <f>IF(ISERROR(TER_onderwijs_gas_kWh/1000),0,TER_onderwijs_gas_kWh/1000)*0.902</f>
        <v>4280.5751796872264</v>
      </c>
      <c r="E11" s="33">
        <f>$C$31*'E Balans VL '!I11/100/3.6*1000000</f>
        <v>0.74385579120949563</v>
      </c>
      <c r="F11" s="33">
        <f>$C$31*('E Balans VL '!L11+'E Balans VL '!N11)/100/3.6*1000000</f>
        <v>706.37537291135698</v>
      </c>
      <c r="G11" s="34"/>
      <c r="H11" s="33"/>
      <c r="I11" s="33"/>
      <c r="J11" s="33">
        <f>$C$31*('E Balans VL '!D11+'E Balans VL '!E11)/100/3.6*1000000</f>
        <v>0</v>
      </c>
      <c r="K11" s="33"/>
      <c r="L11" s="33"/>
      <c r="M11" s="33"/>
      <c r="N11" s="33">
        <f>$C$31*'E Balans VL '!Y11/100/3.6*1000000</f>
        <v>2.8768648229070175</v>
      </c>
      <c r="O11" s="33"/>
      <c r="P11" s="33"/>
      <c r="R11" s="32"/>
    </row>
    <row r="12" spans="1:18">
      <c r="A12" s="32" t="s">
        <v>261</v>
      </c>
      <c r="B12" s="37">
        <f t="shared" si="0"/>
        <v>0</v>
      </c>
      <c r="C12" s="33"/>
      <c r="D12" s="37">
        <f>IF(ISERROR(TER_rest_gas_kWh/1000),0,TER_rest_gas_kWh/1000)*0.902</f>
        <v>3685.0621964729421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31795.323</v>
      </c>
      <c r="C16" s="21">
        <f ca="1">C5+C13+C14</f>
        <v>0</v>
      </c>
      <c r="D16" s="21">
        <f t="shared" ref="D16:N16" ca="1" si="1">MAX((D5+D13+D14),0)</f>
        <v>36699.044214999289</v>
      </c>
      <c r="E16" s="21">
        <f t="shared" si="1"/>
        <v>472.59127479968731</v>
      </c>
      <c r="F16" s="21">
        <f t="shared" ca="1" si="1"/>
        <v>6158.5595499800893</v>
      </c>
      <c r="G16" s="21">
        <f t="shared" si="1"/>
        <v>0</v>
      </c>
      <c r="H16" s="21">
        <f t="shared" si="1"/>
        <v>0</v>
      </c>
      <c r="I16" s="21">
        <f t="shared" si="1"/>
        <v>0</v>
      </c>
      <c r="J16" s="21">
        <f t="shared" si="1"/>
        <v>0</v>
      </c>
      <c r="K16" s="21">
        <f t="shared" si="1"/>
        <v>0</v>
      </c>
      <c r="L16" s="21">
        <f t="shared" ca="1" si="1"/>
        <v>0</v>
      </c>
      <c r="M16" s="21">
        <f t="shared" si="1"/>
        <v>0</v>
      </c>
      <c r="N16" s="21">
        <f t="shared" ca="1" si="1"/>
        <v>625.98211379885674</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0.18750923073944817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5961.9165568422832</v>
      </c>
      <c r="C20" s="23">
        <f t="shared" ref="C20:P20" ca="1" si="2">C16*C18</f>
        <v>0</v>
      </c>
      <c r="D20" s="23">
        <f t="shared" ca="1" si="2"/>
        <v>7413.2069314298569</v>
      </c>
      <c r="E20" s="23">
        <f t="shared" si="2"/>
        <v>107.27821937952902</v>
      </c>
      <c r="F20" s="23">
        <f t="shared" ca="1" si="2"/>
        <v>1644.3353998446839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6788.0450000000001</v>
      </c>
      <c r="C26" s="39">
        <f>IF(ISERROR(B26*3.6/1000000/'E Balans VL '!Z12*100),0,B26*3.6/1000000/'E Balans VL '!Z12*100)</f>
        <v>0.1428431498997185</v>
      </c>
      <c r="D26" s="238" t="s">
        <v>720</v>
      </c>
      <c r="F26" s="6"/>
    </row>
    <row r="27" spans="1:18">
      <c r="A27" s="232" t="s">
        <v>53</v>
      </c>
      <c r="B27" s="33">
        <f>IF(ISERROR(TER_horeca_ele_kWh/1000),0,TER_horeca_ele_kWh/1000)</f>
        <v>2533.3589999999999</v>
      </c>
      <c r="C27" s="39">
        <f>IF(ISERROR(B27*3.6/1000000/'E Balans VL '!Z9*100),0,B27*3.6/1000000/'E Balans VL '!Z9*100)</f>
        <v>0.21449238785713337</v>
      </c>
      <c r="D27" s="238" t="s">
        <v>720</v>
      </c>
      <c r="F27" s="6"/>
    </row>
    <row r="28" spans="1:18">
      <c r="A28" s="172" t="s">
        <v>52</v>
      </c>
      <c r="B28" s="33">
        <f>IF(ISERROR(TER_handel_ele_kWh/1000),0,TER_handel_ele_kWh/1000)</f>
        <v>14721.106</v>
      </c>
      <c r="C28" s="39">
        <f>IF(ISERROR(B28*3.6/1000000/'E Balans VL '!Z13*100),0,B28*3.6/1000000/'E Balans VL '!Z13*100)</f>
        <v>0.40755178398951053</v>
      </c>
      <c r="D28" s="238" t="s">
        <v>720</v>
      </c>
      <c r="F28" s="6"/>
    </row>
    <row r="29" spans="1:18">
      <c r="A29" s="232" t="s">
        <v>51</v>
      </c>
      <c r="B29" s="33">
        <f>IF(ISERROR(TER_gezond_ele_kWh/1000),0,TER_gezond_ele_kWh/1000)</f>
        <v>4499.4080000000004</v>
      </c>
      <c r="C29" s="39">
        <f>IF(ISERROR(B29*3.6/1000000/'E Balans VL '!Z10*100),0,B29*3.6/1000000/'E Balans VL '!Z10*100)</f>
        <v>0.58487315824662045</v>
      </c>
      <c r="D29" s="238" t="s">
        <v>720</v>
      </c>
      <c r="F29" s="6"/>
    </row>
    <row r="30" spans="1:18">
      <c r="A30" s="232" t="s">
        <v>50</v>
      </c>
      <c r="B30" s="33">
        <f>IF(ISERROR(TER_ander_ele_kWh/1000),0,TER_ander_ele_kWh/1000)</f>
        <v>2277.2829999999999</v>
      </c>
      <c r="C30" s="39">
        <f>IF(ISERROR(B30*3.6/1000000/'E Balans VL '!Z14*100),0,B30*3.6/1000000/'E Balans VL '!Z14*100)</f>
        <v>0.17651031678048146</v>
      </c>
      <c r="D30" s="238" t="s">
        <v>720</v>
      </c>
      <c r="F30" s="6"/>
    </row>
    <row r="31" spans="1:18">
      <c r="A31" s="232" t="s">
        <v>55</v>
      </c>
      <c r="B31" s="33">
        <f>IF(ISERROR(TER_onderwijs_ele_kWh/1000),0,TER_onderwijs_ele_kWh/1000)</f>
        <v>976.12199999999996</v>
      </c>
      <c r="C31" s="39">
        <f>IF(ISERROR(B31*3.6/1000000/'E Balans VL '!Z11*100),0,B31*3.6/1000000/'E Balans VL '!Z11*100)</f>
        <v>0.18674877136689499</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80269.186000000002</v>
      </c>
      <c r="C5" s="17">
        <f>IF(ISERROR('Eigen informatie GS &amp; warmtenet'!B59),0,'Eigen informatie GS &amp; warmtenet'!B59)</f>
        <v>0</v>
      </c>
      <c r="D5" s="30">
        <f>SUM(D6:D15)</f>
        <v>56514.503217306279</v>
      </c>
      <c r="E5" s="17">
        <f>SUM(E6:E15)</f>
        <v>846.66482003162298</v>
      </c>
      <c r="F5" s="17">
        <f>SUM(F6:F15)</f>
        <v>22972.928083176583</v>
      </c>
      <c r="G5" s="18"/>
      <c r="H5" s="17"/>
      <c r="I5" s="17"/>
      <c r="J5" s="17">
        <f>SUM(J6:J15)</f>
        <v>477.68850341906722</v>
      </c>
      <c r="K5" s="17"/>
      <c r="L5" s="17"/>
      <c r="M5" s="17"/>
      <c r="N5" s="17">
        <f>SUM(N6:N15)</f>
        <v>2042.3575023621697</v>
      </c>
      <c r="O5" s="17">
        <f>B43*B44*B45</f>
        <v>0</v>
      </c>
      <c r="P5" s="17">
        <f>B51*B52*B53/1000-B51*B52*B53/1000/B54</f>
        <v>0</v>
      </c>
      <c r="R5" s="32"/>
    </row>
    <row r="6" spans="1:18">
      <c r="A6" s="6" t="s">
        <v>35</v>
      </c>
      <c r="B6" s="37">
        <f>IF( ISERROR(IND_ijzer_ele_kWh/1000),0,IND_ijzer_ele_kWh/1000)</f>
        <v>292.185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14939.574000000001</v>
      </c>
      <c r="C8" s="33"/>
      <c r="D8" s="37">
        <f>IF( ISERROR(IND_metaal_Gas_kWH/1000),0,IND_metaal_Gas_kWH/1000)*0.902</f>
        <v>604.00672447013608</v>
      </c>
      <c r="E8" s="33">
        <f>C30*'E Balans VL '!I18/100/3.6*1000000</f>
        <v>104.97709023051647</v>
      </c>
      <c r="F8" s="33">
        <f>C30*'E Balans VL '!L18/100/3.6*1000000+C30*'E Balans VL '!N18/100/3.6*1000000</f>
        <v>1640.2778200889429</v>
      </c>
      <c r="G8" s="34"/>
      <c r="H8" s="33"/>
      <c r="I8" s="33"/>
      <c r="J8" s="40">
        <f>C30*'E Balans VL '!D18/100/3.6*1000000+C30*'E Balans VL '!E18/100/3.6*1000000</f>
        <v>308.23561225488294</v>
      </c>
      <c r="K8" s="33"/>
      <c r="L8" s="33"/>
      <c r="M8" s="33"/>
      <c r="N8" s="33">
        <f>C30*'E Balans VL '!Y18/100/3.6*1000000</f>
        <v>55.994599298965397</v>
      </c>
      <c r="O8" s="33"/>
      <c r="P8" s="33"/>
      <c r="R8" s="32"/>
    </row>
    <row r="9" spans="1:18">
      <c r="A9" s="6" t="s">
        <v>33</v>
      </c>
      <c r="B9" s="37">
        <f t="shared" si="0"/>
        <v>18476.421999999999</v>
      </c>
      <c r="C9" s="33"/>
      <c r="D9" s="37">
        <f>IF( ISERROR(IND_andere_gas_kWh/1000),0,IND_andere_gas_kWh/1000)*0.902</f>
        <v>5031.3458466753082</v>
      </c>
      <c r="E9" s="33">
        <f>C31*'E Balans VL '!I19/100/3.6*1000000</f>
        <v>310.33414182962429</v>
      </c>
      <c r="F9" s="33">
        <f>C31*'E Balans VL '!L19/100/3.6*1000000+C31*'E Balans VL '!N19/100/3.6*1000000</f>
        <v>14443.814381178441</v>
      </c>
      <c r="G9" s="34"/>
      <c r="H9" s="33"/>
      <c r="I9" s="33"/>
      <c r="J9" s="40">
        <f>C31*'E Balans VL '!D19/100/3.6*1000000+C31*'E Balans VL '!E19/100/3.6*1000000</f>
        <v>1.6664101659111779</v>
      </c>
      <c r="K9" s="33"/>
      <c r="L9" s="33"/>
      <c r="M9" s="33"/>
      <c r="N9" s="33">
        <f>C31*'E Balans VL '!Y19/100/3.6*1000000</f>
        <v>1369.3992982942705</v>
      </c>
      <c r="O9" s="33"/>
      <c r="P9" s="33"/>
      <c r="R9" s="32"/>
    </row>
    <row r="10" spans="1:18">
      <c r="A10" s="6" t="s">
        <v>41</v>
      </c>
      <c r="B10" s="37">
        <f t="shared" si="0"/>
        <v>39972.915999999997</v>
      </c>
      <c r="C10" s="33"/>
      <c r="D10" s="37">
        <f>IF( ISERROR(IND_voed_gas_kWh/1000),0,IND_voed_gas_kWh/1000)*0.902</f>
        <v>2373.2804169778383</v>
      </c>
      <c r="E10" s="33">
        <f>C32*'E Balans VL '!I20/100/3.6*1000000</f>
        <v>364.69627483955486</v>
      </c>
      <c r="F10" s="33">
        <f>C32*'E Balans VL '!L20/100/3.6*1000000+C32*'E Balans VL '!N20/100/3.6*1000000</f>
        <v>6448.8816304435695</v>
      </c>
      <c r="G10" s="34"/>
      <c r="H10" s="33"/>
      <c r="I10" s="33"/>
      <c r="J10" s="40">
        <f>C32*'E Balans VL '!D20/100/3.6*1000000+C32*'E Balans VL '!E20/100/3.6*1000000</f>
        <v>164.63467560030637</v>
      </c>
      <c r="K10" s="33"/>
      <c r="L10" s="33"/>
      <c r="M10" s="33"/>
      <c r="N10" s="33">
        <f>C32*'E Balans VL '!Y20/100/3.6*1000000</f>
        <v>584.77224155110491</v>
      </c>
      <c r="O10" s="33"/>
      <c r="P10" s="33"/>
      <c r="R10" s="32"/>
    </row>
    <row r="11" spans="1:18">
      <c r="A11" s="6" t="s">
        <v>40</v>
      </c>
      <c r="B11" s="37">
        <f t="shared" si="0"/>
        <v>4272.5839999999998</v>
      </c>
      <c r="C11" s="33"/>
      <c r="D11" s="37">
        <f>IF( ISERROR(IND_textiel_gas_kWh/1000),0,IND_textiel_gas_kWh/1000)*0.902</f>
        <v>0</v>
      </c>
      <c r="E11" s="33">
        <f>C33*'E Balans VL '!I21/100/3.6*1000000</f>
        <v>9.7449715735528262</v>
      </c>
      <c r="F11" s="33">
        <f>C33*'E Balans VL '!L21/100/3.6*1000000+C33*'E Balans VL '!N21/100/3.6*1000000</f>
        <v>91.330445803807024</v>
      </c>
      <c r="G11" s="34"/>
      <c r="H11" s="33"/>
      <c r="I11" s="33"/>
      <c r="J11" s="40">
        <f>C33*'E Balans VL '!D21/100/3.6*1000000+C33*'E Balans VL '!E21/100/3.6*1000000</f>
        <v>0</v>
      </c>
      <c r="K11" s="33"/>
      <c r="L11" s="33"/>
      <c r="M11" s="33"/>
      <c r="N11" s="33">
        <f>C33*'E Balans VL '!Y21/100/3.6*1000000</f>
        <v>30.309134483633034</v>
      </c>
      <c r="O11" s="33"/>
      <c r="P11" s="33"/>
      <c r="R11" s="32"/>
    </row>
    <row r="12" spans="1:18">
      <c r="A12" s="6" t="s">
        <v>37</v>
      </c>
      <c r="B12" s="37">
        <f t="shared" si="0"/>
        <v>554.83799999999997</v>
      </c>
      <c r="C12" s="33"/>
      <c r="D12" s="37">
        <f>IF( ISERROR(IND_min_gas_kWh/1000),0,IND_min_gas_kWh/1000)*0.902</f>
        <v>0</v>
      </c>
      <c r="E12" s="33">
        <f>C34*'E Balans VL '!I22/100/3.6*1000000</f>
        <v>13.761786205145539</v>
      </c>
      <c r="F12" s="33">
        <f>C34*'E Balans VL '!L22/100/3.6*1000000+C34*'E Balans VL '!N22/100/3.6*1000000</f>
        <v>58.956850071775079</v>
      </c>
      <c r="G12" s="34"/>
      <c r="H12" s="33"/>
      <c r="I12" s="33"/>
      <c r="J12" s="40">
        <f>C34*'E Balans VL '!D22/100/3.6*1000000+C34*'E Balans VL '!E22/100/3.6*1000000</f>
        <v>3.1518053979667142</v>
      </c>
      <c r="K12" s="33"/>
      <c r="L12" s="33"/>
      <c r="M12" s="33"/>
      <c r="N12" s="33">
        <f>C34*'E Balans VL '!Y22/100/3.6*1000000</f>
        <v>0</v>
      </c>
      <c r="O12" s="33"/>
      <c r="P12" s="33"/>
      <c r="R12" s="32"/>
    </row>
    <row r="13" spans="1:18">
      <c r="A13" s="6" t="s">
        <v>39</v>
      </c>
      <c r="B13" s="37">
        <f t="shared" si="0"/>
        <v>1358.114</v>
      </c>
      <c r="C13" s="33"/>
      <c r="D13" s="37">
        <f>IF( ISERROR(IND_papier_gas_kWh/1000),0,IND_papier_gas_kWh/1000)*0.902</f>
        <v>906.56081508475427</v>
      </c>
      <c r="E13" s="33">
        <f>C35*'E Balans VL '!I23/100/3.6*1000000</f>
        <v>41.785623418129738</v>
      </c>
      <c r="F13" s="33">
        <f>C35*'E Balans VL '!L23/100/3.6*1000000+C35*'E Balans VL '!N23/100/3.6*1000000</f>
        <v>288.37506548005604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402.553</v>
      </c>
      <c r="C14" s="33"/>
      <c r="D14" s="37">
        <f>IF( ISERROR(IND_chemie_gas_kWh/1000),0,IND_chemie_gas_kWh/1000)*0.902</f>
        <v>0</v>
      </c>
      <c r="E14" s="33">
        <f>C36*'E Balans VL '!I24/100/3.6*1000000</f>
        <v>1.3649319350993105</v>
      </c>
      <c r="F14" s="33">
        <f>C36*'E Balans VL '!L24/100/3.6*1000000+C36*'E Balans VL '!N24/100/3.6*1000000</f>
        <v>1.2918901099920388</v>
      </c>
      <c r="G14" s="34"/>
      <c r="H14" s="33"/>
      <c r="I14" s="33"/>
      <c r="J14" s="40">
        <f>C36*'E Balans VL '!D24/100/3.6*1000000+C36*'E Balans VL '!E24/100/3.6*1000000</f>
        <v>0</v>
      </c>
      <c r="K14" s="33"/>
      <c r="L14" s="33"/>
      <c r="M14" s="33"/>
      <c r="N14" s="33">
        <f>C36*'E Balans VL '!Y24/100/3.6*1000000</f>
        <v>1.8822287341959265</v>
      </c>
      <c r="O14" s="33"/>
      <c r="P14" s="33"/>
      <c r="R14" s="32"/>
    </row>
    <row r="15" spans="1:18">
      <c r="A15" s="6" t="s">
        <v>271</v>
      </c>
      <c r="B15" s="37">
        <f t="shared" si="0"/>
        <v>0</v>
      </c>
      <c r="C15" s="33"/>
      <c r="D15" s="37">
        <f>IF( ISERROR(IND_rest_gas_kWh/1000),0,IND_rest_gas_kWh/1000)*0.902</f>
        <v>47599.309414098243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80269.186000000002</v>
      </c>
      <c r="C18" s="21">
        <f>C5+C16</f>
        <v>0</v>
      </c>
      <c r="D18" s="21">
        <f>MAX((D5+D16),0)</f>
        <v>56514.503217306279</v>
      </c>
      <c r="E18" s="21">
        <f>MAX((E5+E16),0)</f>
        <v>846.66482003162298</v>
      </c>
      <c r="F18" s="21">
        <f>MAX((F5+F16),0)</f>
        <v>22972.928083176583</v>
      </c>
      <c r="G18" s="21"/>
      <c r="H18" s="21"/>
      <c r="I18" s="21"/>
      <c r="J18" s="21">
        <f>MAX((J5+J16),0)</f>
        <v>477.68850341906722</v>
      </c>
      <c r="K18" s="21"/>
      <c r="L18" s="21">
        <f>MAX((L5+L16),0)</f>
        <v>0</v>
      </c>
      <c r="M18" s="21"/>
      <c r="N18" s="21">
        <f>MAX((N5+N16),0)</f>
        <v>2042.3575023621697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0.18750923073944817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15051.213318941684</v>
      </c>
      <c r="C22" s="23">
        <f ca="1">C18*C20</f>
        <v>0</v>
      </c>
      <c r="D22" s="23">
        <f>D18*D20</f>
        <v>11415.929649895868</v>
      </c>
      <c r="E22" s="23">
        <f>E18*E20</f>
        <v>192.19291414717841</v>
      </c>
      <c r="F22" s="23">
        <f>F18*F20</f>
        <v>6133.7717982081476</v>
      </c>
      <c r="G22" s="23"/>
      <c r="H22" s="23"/>
      <c r="I22" s="23"/>
      <c r="J22" s="23">
        <f>J18*J20</f>
        <v>169.10173021034979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14939.574000000001</v>
      </c>
      <c r="C30" s="39">
        <f>IF(ISERROR(B30*3.6/1000000/'E Balans VL '!Z18*100),0,B30*3.6/1000000/'E Balans VL '!Z18*100)</f>
        <v>0.99453656404836466</v>
      </c>
      <c r="D30" s="238" t="s">
        <v>720</v>
      </c>
    </row>
    <row r="31" spans="1:18">
      <c r="A31" s="6" t="s">
        <v>33</v>
      </c>
      <c r="B31" s="37">
        <f>IF( ISERROR(IND_ander_ele_kWh/1000),0,IND_ander_ele_kWh/1000)</f>
        <v>18476.421999999999</v>
      </c>
      <c r="C31" s="39">
        <f>IF(ISERROR(B31*3.6/1000000/'E Balans VL '!Z19*100),0,B31*3.6/1000000/'E Balans VL '!Z19*100)</f>
        <v>0.81898656618160282</v>
      </c>
      <c r="D31" s="238" t="s">
        <v>720</v>
      </c>
    </row>
    <row r="32" spans="1:18">
      <c r="A32" s="172" t="s">
        <v>41</v>
      </c>
      <c r="B32" s="37">
        <f>IF( ISERROR(IND_voed_ele_kWh/1000),0,IND_voed_ele_kWh/1000)</f>
        <v>39972.915999999997</v>
      </c>
      <c r="C32" s="39">
        <f>IF(ISERROR(B32*3.6/1000000/'E Balans VL '!Z20*100),0,B32*3.6/1000000/'E Balans VL '!Z20*100)</f>
        <v>1.335210061855135</v>
      </c>
      <c r="D32" s="238" t="s">
        <v>720</v>
      </c>
    </row>
    <row r="33" spans="1:5">
      <c r="A33" s="172" t="s">
        <v>40</v>
      </c>
      <c r="B33" s="37">
        <f>IF( ISERROR(IND_textiel_ele_kWh/1000),0,IND_textiel_ele_kWh/1000)</f>
        <v>4272.5839999999998</v>
      </c>
      <c r="C33" s="39">
        <f>IF(ISERROR(B33*3.6/1000000/'E Balans VL '!Z21*100),0,B33*3.6/1000000/'E Balans VL '!Z21*100)</f>
        <v>0.5624955363495151</v>
      </c>
      <c r="D33" s="238" t="s">
        <v>720</v>
      </c>
    </row>
    <row r="34" spans="1:5">
      <c r="A34" s="172" t="s">
        <v>37</v>
      </c>
      <c r="B34" s="37">
        <f>IF( ISERROR(IND_min_ele_kWh/1000),0,IND_min_ele_kWh/1000)</f>
        <v>554.83799999999997</v>
      </c>
      <c r="C34" s="39">
        <f>IF(ISERROR(B34*3.6/1000000/'E Balans VL '!Z22*100),0,B34*3.6/1000000/'E Balans VL '!Z22*100)</f>
        <v>0.10790989645100511</v>
      </c>
      <c r="D34" s="238" t="s">
        <v>720</v>
      </c>
    </row>
    <row r="35" spans="1:5">
      <c r="A35" s="172" t="s">
        <v>39</v>
      </c>
      <c r="B35" s="37">
        <f>IF( ISERROR(IND_papier_ele_kWh/1000),0,IND_papier_ele_kWh/1000)</f>
        <v>1358.114</v>
      </c>
      <c r="C35" s="39">
        <f>IF(ISERROR(B35*3.6/1000000/'E Balans VL '!Z22*100),0,B35*3.6/1000000/'E Balans VL '!Z22*100)</f>
        <v>0.26413825496570231</v>
      </c>
      <c r="D35" s="238" t="s">
        <v>720</v>
      </c>
    </row>
    <row r="36" spans="1:5">
      <c r="A36" s="172" t="s">
        <v>34</v>
      </c>
      <c r="B36" s="37">
        <f>IF( ISERROR(IND_chemie_ele_kWh/1000),0,IND_chemie_ele_kWh/1000)</f>
        <v>402.553</v>
      </c>
      <c r="C36" s="39">
        <f>IF(ISERROR(B36*3.6/1000000/'E Balans VL '!Z24*100),0,B36*3.6/1000000/'E Balans VL '!Z24*100)</f>
        <v>9.4530286756037574E-3</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1807.72</v>
      </c>
      <c r="C5" s="17">
        <f>'Eigen informatie GS &amp; warmtenet'!B60</f>
        <v>0</v>
      </c>
      <c r="D5" s="30">
        <f>IF(ISERROR(SUM(LB_lb_gas_kWh,LB_rest_gas_kWh,onbekend_gas_kWh)/1000),0,SUM(LB_lb_gas_kWh,LB_rest_gas_kWh,onbekend_gas_kWh)/1000)*0.902</f>
        <v>12322.681577286077</v>
      </c>
      <c r="E5" s="17">
        <f>B17*'E Balans VL '!I25/3.6*1000000/100</f>
        <v>18.93083519542062</v>
      </c>
      <c r="F5" s="17">
        <f>B17*('E Balans VL '!L25/3.6*1000000+'E Balans VL '!N25/3.6*1000000)/100</f>
        <v>9284.7377528928519</v>
      </c>
      <c r="G5" s="18"/>
      <c r="H5" s="17"/>
      <c r="I5" s="17"/>
      <c r="J5" s="17">
        <f>('E Balans VL '!D25+'E Balans VL '!E25)/3.6*1000000*landbouw!B17/100</f>
        <v>161.44559887077548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1807.72</v>
      </c>
      <c r="C8" s="21">
        <f>C5+C6</f>
        <v>0</v>
      </c>
      <c r="D8" s="21">
        <f>MAX((D5+D6),0)</f>
        <v>12322.681577286077</v>
      </c>
      <c r="E8" s="21">
        <f>MAX((E5+E6),0)</f>
        <v>18.93083519542062</v>
      </c>
      <c r="F8" s="21">
        <f>MAX((F5+F6),0)</f>
        <v>9284.7377528928519</v>
      </c>
      <c r="G8" s="21"/>
      <c r="H8" s="21"/>
      <c r="I8" s="21"/>
      <c r="J8" s="21">
        <f>MAX((J5+J6),0)</f>
        <v>161.44559887077548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0.18750923073944817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338.96418659231523</v>
      </c>
      <c r="C12" s="23">
        <f ca="1">C8*C10</f>
        <v>0</v>
      </c>
      <c r="D12" s="23">
        <f>D8*D10</f>
        <v>2489.1816786117879</v>
      </c>
      <c r="E12" s="23">
        <f>E8*E10</f>
        <v>4.2972995893604811</v>
      </c>
      <c r="F12" s="23">
        <f>F8*F10</f>
        <v>2479.0249800223914</v>
      </c>
      <c r="G12" s="23"/>
      <c r="H12" s="23"/>
      <c r="I12" s="23"/>
      <c r="J12" s="23">
        <f>J8*J10</f>
        <v>57.151742000254515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0.27824300344462366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83.208089466815977</v>
      </c>
      <c r="C26" s="248">
        <f>B26*'GWP N2O_CH4'!B5</f>
        <v>1747.3698788031356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93.540177508043698</v>
      </c>
      <c r="C27" s="248">
        <f>B27*'GWP N2O_CH4'!B5</f>
        <v>1964.3437276689176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1.3773517028792897</v>
      </c>
      <c r="C28" s="248">
        <f>B28*'GWP N2O_CH4'!B4</f>
        <v>426.97902789257978</v>
      </c>
      <c r="D28" s="50"/>
    </row>
    <row r="29" spans="1:4">
      <c r="A29" s="41" t="s">
        <v>278</v>
      </c>
      <c r="B29" s="248">
        <f>B34*'ha_N2O bodem landbouw'!B4</f>
        <v>8.1423414410569954</v>
      </c>
      <c r="C29" s="248">
        <f>B29*'GWP N2O_CH4'!B4</f>
        <v>2524.1258467276684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1.3456288621778668E-3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3.9118190746720892E-6</v>
      </c>
      <c r="C5" s="446" t="s">
        <v>212</v>
      </c>
      <c r="D5" s="431">
        <f>SUM(D6:D11)</f>
        <v>2.1510162425856479E-5</v>
      </c>
      <c r="E5" s="431">
        <f>SUM(E6:E11)</f>
        <v>2.2849720370483068E-3</v>
      </c>
      <c r="F5" s="444" t="s">
        <v>212</v>
      </c>
      <c r="G5" s="431">
        <f>SUM(G6:G11)</f>
        <v>0.44948116588771603</v>
      </c>
      <c r="H5" s="431">
        <f>SUM(H6:H11)</f>
        <v>7.1973278712233815E-2</v>
      </c>
      <c r="I5" s="446" t="s">
        <v>212</v>
      </c>
      <c r="J5" s="446" t="s">
        <v>212</v>
      </c>
      <c r="K5" s="446" t="s">
        <v>212</v>
      </c>
      <c r="L5" s="446" t="s">
        <v>212</v>
      </c>
      <c r="M5" s="431">
        <f>SUM(M6:M11)</f>
        <v>2.2739478244058996E-2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1.4276838174999364E-6</v>
      </c>
      <c r="C6" s="432"/>
      <c r="D6" s="432">
        <f>vkm_2011_GW_PW*SUMIFS(TableVerdeelsleutelVkm[CNG],TableVerdeelsleutelVkm[Voertuigtype],"Lichte voertuigen")*SUMIFS(TableECFTransport[EnergieConsumptieFactor (PJ per km)],TableECFTransport[Index],CONCATENATE($A6,"_CNG_CNG"))</f>
        <v>6.15457898345851E-6</v>
      </c>
      <c r="E6" s="434">
        <f>vkm_2011_GW_PW*SUMIFS(TableVerdeelsleutelVkm[LPG],TableVerdeelsleutelVkm[Voertuigtype],"Lichte voertuigen")*SUMIFS(TableECFTransport[EnergieConsumptieFactor (PJ per km)],TableECFTransport[Index],CONCATENATE($A6,"_LPG_LPG"))</f>
        <v>6.403461795248045E-4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7.8764338010397672E-2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2.0737017963180164E-2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4.3606264465434561E-3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6.2911380675507486E-2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2.1571440629909405E-5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2.7176537696954059E-3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1.3039147813890143E-6</v>
      </c>
      <c r="C8" s="432"/>
      <c r="D8" s="434">
        <f>vkm_2011_NGW_PW*SUMIFS(TableVerdeelsleutelVkm[CNG],TableVerdeelsleutelVkm[Voertuigtype],"Lichte voertuigen")*SUMIFS(TableECFTransport[EnergieConsumptieFactor (PJ per km)],TableECFTransport[Index],CONCATENATE($A8,"_CNG_CNG"))</f>
        <v>1.008425586119373E-5</v>
      </c>
      <c r="E8" s="434">
        <f>vkm_2011_NGW_PW*SUMIFS(TableVerdeelsleutelVkm[LPG],TableVerdeelsleutelVkm[Voertuigtype],"Lichte voertuigen")*SUMIFS(TableECFTransport[EnergieConsumptieFactor (PJ per km)],TableECFTransport[Index],CONCATENATE($A8,"_LPG_LPG"))</f>
        <v>9.5800193535620372E-4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0.11176558623234169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3.2433870256699596E-2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6.3268532595157443E-3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5.0944030663153062E-2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1.5174888379903501E-5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2.2005805805170539E-3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1.1802204757831391E-6</v>
      </c>
      <c r="C10" s="432"/>
      <c r="D10" s="434">
        <f>vkm_2011_SW_PW*SUMIFS(TableVerdeelsleutelVkm[CNG],TableVerdeelsleutelVkm[Voertuigtype],"Lichte voertuigen")*SUMIFS(TableECFTransport[EnergieConsumptieFactor (PJ per km)],TableECFTransport[Index],CONCATENATE($A10,"_CNG_CNG"))</f>
        <v>5.2713275812042381E-6</v>
      </c>
      <c r="E10" s="434">
        <f>vkm_2011_SW_PW*SUMIFS(TableVerdeelsleutelVkm[LPG],TableVerdeelsleutelVkm[Voertuigtype],"Lichte voertuigen")*SUMIFS(TableECFTransport[EnergieConsumptieFactor (PJ per km)],TableECFTransport[Index],CONCATENATE($A10,"_LPG_LPG"))</f>
        <v>6.8662392216729861E-4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7.7644394693797109E-2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1.8740967353324856E-2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4.2199169027790154E-3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6.745143561251897E-2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2.4676810019384191E-5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2.9138472850083206E-3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1.0866164096311359</v>
      </c>
      <c r="C14" s="21"/>
      <c r="D14" s="21">
        <f t="shared" ref="D14:M14" si="0">((D5)*10^9/3600)+D12</f>
        <v>5.9750451182934672</v>
      </c>
      <c r="E14" s="21">
        <f t="shared" si="0"/>
        <v>634.71445473564074</v>
      </c>
      <c r="F14" s="21"/>
      <c r="G14" s="21">
        <f t="shared" si="0"/>
        <v>124855.87941325446</v>
      </c>
      <c r="H14" s="21">
        <f t="shared" si="0"/>
        <v>19992.577420064947</v>
      </c>
      <c r="I14" s="21"/>
      <c r="J14" s="21"/>
      <c r="K14" s="21"/>
      <c r="L14" s="21"/>
      <c r="M14" s="21">
        <f t="shared" si="0"/>
        <v>6316.5217344608327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0.18750923073944817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0.20375060707879539</v>
      </c>
      <c r="C18" s="23"/>
      <c r="D18" s="23">
        <f t="shared" ref="D18:M18" si="1">D14*D16</f>
        <v>1.2069591138952804</v>
      </c>
      <c r="E18" s="23">
        <f t="shared" si="1"/>
        <v>144.08018122499044</v>
      </c>
      <c r="F18" s="23"/>
      <c r="G18" s="23">
        <f t="shared" si="1"/>
        <v>33336.519803338939</v>
      </c>
      <c r="H18" s="23">
        <f t="shared" si="1"/>
        <v>4978.151777596172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2.6498819275704486E-3</v>
      </c>
      <c r="H50" s="322">
        <f t="shared" si="2"/>
        <v>0</v>
      </c>
      <c r="I50" s="322">
        <f t="shared" si="2"/>
        <v>0</v>
      </c>
      <c r="J50" s="322">
        <f t="shared" si="2"/>
        <v>0</v>
      </c>
      <c r="K50" s="322">
        <f t="shared" si="2"/>
        <v>0</v>
      </c>
      <c r="L50" s="322">
        <f t="shared" si="2"/>
        <v>0</v>
      </c>
      <c r="M50" s="322">
        <f t="shared" si="2"/>
        <v>1.1295295422238913E-4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2.6498819275704486E-3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1.1295295422238913E-4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736.07831321401352</v>
      </c>
      <c r="H54" s="21">
        <f t="shared" si="3"/>
        <v>0</v>
      </c>
      <c r="I54" s="21">
        <f t="shared" si="3"/>
        <v>0</v>
      </c>
      <c r="J54" s="21">
        <f t="shared" si="3"/>
        <v>0</v>
      </c>
      <c r="K54" s="21">
        <f t="shared" si="3"/>
        <v>0</v>
      </c>
      <c r="L54" s="21">
        <f t="shared" si="3"/>
        <v>0</v>
      </c>
      <c r="M54" s="21">
        <f t="shared" si="3"/>
        <v>31.375820617330316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0.18750923073944817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196.53290962814162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20813.545105066914</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3711.2754707284357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24524.820575795351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2018-12-05T15:57:02Z</dcterms:modified>
</cp:coreProperties>
</file>