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B11"/>
  <c r="D10"/>
  <c r="D9"/>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M8"/>
  <c r="K8"/>
  <c r="I8"/>
  <c r="H8"/>
  <c r="G8"/>
  <c r="P7"/>
  <c r="O7"/>
  <c r="M7"/>
  <c r="K7"/>
  <c r="I7"/>
  <c r="H7"/>
  <c r="G7"/>
  <c r="M4"/>
  <c r="K4"/>
  <c r="I4"/>
  <c r="H4"/>
  <c r="G4"/>
  <c r="I79" i="14"/>
  <c r="E79"/>
  <c r="B79"/>
  <c r="M78"/>
  <c r="L78"/>
  <c r="H78"/>
  <c r="G78"/>
  <c r="E78"/>
  <c r="L6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C97" i="18" l="1"/>
  <c r="I100" s="1"/>
  <c r="H7" s="1"/>
  <c r="I67" i="14" s="1"/>
  <c r="C13" i="15"/>
  <c r="B16" i="16"/>
  <c r="B13" i="15"/>
  <c r="F6" i="17"/>
  <c r="F8" s="1"/>
  <c r="D16" i="16"/>
  <c r="D8" i="17"/>
  <c r="E22" i="14" s="1"/>
  <c r="O80"/>
  <c r="J8" i="18"/>
  <c r="E8" i="16"/>
  <c r="C12" i="14"/>
  <c r="R12" s="1"/>
  <c r="F19" i="19"/>
  <c r="G35" i="14" s="1"/>
  <c r="L19" i="19"/>
  <c r="M35" i="14" s="1"/>
  <c r="L12" i="13"/>
  <c r="M37" i="14" s="1"/>
  <c r="B97" i="18"/>
  <c r="D101" s="1"/>
  <c r="L4" i="48"/>
  <c r="L21" s="1"/>
  <c r="M12" i="13"/>
  <c r="N37" i="14" s="1"/>
  <c r="N16" i="16"/>
  <c r="D12" i="22"/>
  <c r="E17" i="14"/>
  <c r="D13" i="48"/>
  <c r="D30" s="1"/>
  <c r="D31" i="20"/>
  <c r="E43" i="14" s="1"/>
  <c r="I101" i="18"/>
  <c r="H16" s="1"/>
  <c r="I78" i="14" s="1"/>
  <c r="I81" s="1"/>
  <c r="G101" i="18"/>
  <c r="C101"/>
  <c r="B101"/>
  <c r="C16" s="1"/>
  <c r="D78" i="14" s="1"/>
  <c r="E12" i="22"/>
  <c r="F17" i="14"/>
  <c r="E13" i="48"/>
  <c r="E30" s="1"/>
  <c r="B12" i="22"/>
  <c r="C17" i="14"/>
  <c r="B13" i="48"/>
  <c r="B13" i="16"/>
  <c r="C35"/>
  <c r="C64" i="14"/>
  <c r="D11" i="48"/>
  <c r="D28" s="1"/>
  <c r="D14" i="15"/>
  <c r="K19" i="19"/>
  <c r="L35" i="14" s="1"/>
  <c r="I19" i="19"/>
  <c r="J35" i="14" s="1"/>
  <c r="B6" i="48"/>
  <c r="Q6" s="1"/>
  <c r="P18" i="16"/>
  <c r="P22" s="1"/>
  <c r="Q39" i="14" s="1"/>
  <c r="J8" i="17"/>
  <c r="J7" i="48" s="1"/>
  <c r="J24" s="1"/>
  <c r="G19" i="18"/>
  <c r="K19"/>
  <c r="L16" i="16"/>
  <c r="L18" s="1"/>
  <c r="N6" i="17"/>
  <c r="G100" i="18"/>
  <c r="B81" i="14"/>
  <c r="F100" i="18"/>
  <c r="E31" i="20"/>
  <c r="F43" i="14" s="1"/>
  <c r="H14" i="22"/>
  <c r="B100" i="18"/>
  <c r="C7" s="1"/>
  <c r="D67" i="14" s="1"/>
  <c r="E9"/>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L20" s="1"/>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H28" i="48"/>
  <c r="L28"/>
  <c r="G25"/>
  <c r="E28"/>
  <c r="I28"/>
  <c r="C22" i="13"/>
  <c r="C21"/>
  <c r="C20"/>
  <c r="H25" i="48"/>
  <c r="F28"/>
  <c r="J28"/>
  <c r="N28"/>
  <c r="O24"/>
  <c r="I25"/>
  <c r="P11" i="14"/>
  <c r="O12" i="13"/>
  <c r="P37" i="14" s="1"/>
  <c r="H9" i="18"/>
  <c r="B10" i="48"/>
  <c r="C18" i="14"/>
  <c r="P24" i="48"/>
  <c r="E5" i="17"/>
  <c r="C8"/>
  <c r="G24" i="48"/>
  <c r="I24"/>
  <c r="G81" i="14"/>
  <c r="D79"/>
  <c r="H79"/>
  <c r="H81" s="1"/>
  <c r="L79"/>
  <c r="L81" s="1"/>
  <c r="F79"/>
  <c r="J79"/>
  <c r="E68"/>
  <c r="E69" s="1"/>
  <c r="I68"/>
  <c r="I69" s="1"/>
  <c r="M68"/>
  <c r="M69" s="1"/>
  <c r="D19" i="18"/>
  <c r="L19"/>
  <c r="B68" i="14"/>
  <c r="G68"/>
  <c r="G69" s="1"/>
  <c r="K68"/>
  <c r="E81"/>
  <c r="M81"/>
  <c r="B19" i="18"/>
  <c r="F19"/>
  <c r="D11" i="14"/>
  <c r="C4" i="48"/>
  <c r="M8" i="18"/>
  <c r="M17"/>
  <c r="M18"/>
  <c r="D13" i="14"/>
  <c r="G22" l="1"/>
  <c r="F7" i="48"/>
  <c r="F24" s="1"/>
  <c r="F12" i="17"/>
  <c r="G48" i="14" s="1"/>
  <c r="I16" i="18"/>
  <c r="F81" i="14"/>
  <c r="C9" i="18"/>
  <c r="O78" i="14"/>
  <c r="K14" i="48"/>
  <c r="G31" i="20"/>
  <c r="H43" i="14" s="1"/>
  <c r="E101" i="18"/>
  <c r="E16" s="1"/>
  <c r="F78" i="14" s="1"/>
  <c r="P8" i="48"/>
  <c r="P25" s="1"/>
  <c r="F101" i="18"/>
  <c r="J12" i="17"/>
  <c r="K48" i="14" s="1"/>
  <c r="E100" i="18"/>
  <c r="E7" s="1"/>
  <c r="F67" i="14" s="1"/>
  <c r="F69" s="1"/>
  <c r="D100" i="18"/>
  <c r="H101"/>
  <c r="J16" s="1"/>
  <c r="K78" i="14" s="1"/>
  <c r="K81" s="1"/>
  <c r="H19" i="18"/>
  <c r="G13" i="48"/>
  <c r="G30" s="1"/>
  <c r="H100" i="18"/>
  <c r="J7" s="1"/>
  <c r="C100"/>
  <c r="E9"/>
  <c r="Q13" i="14"/>
  <c r="L5" i="17"/>
  <c r="L8" s="1"/>
  <c r="E19" i="18"/>
  <c r="M28" i="48"/>
  <c r="B35" i="13"/>
  <c r="B47" s="1"/>
  <c r="N5" i="17"/>
  <c r="N8" s="1"/>
  <c r="D81" i="14"/>
  <c r="O79"/>
  <c r="O81" s="1"/>
  <c r="B17" i="6" s="1"/>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O68" i="14"/>
  <c r="C68"/>
  <c r="E8" i="17"/>
  <c r="F22" i="14" s="1"/>
  <c r="D69"/>
  <c r="O67"/>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K31"/>
  <c r="M25"/>
  <c r="M24"/>
  <c r="I31"/>
  <c r="C50" i="13"/>
  <c r="J5" s="1"/>
  <c r="J8" s="1"/>
  <c r="E7" i="48"/>
  <c r="E24" s="1"/>
  <c r="E12" i="17"/>
  <c r="F48" i="14" s="1"/>
  <c r="C5" i="48"/>
  <c r="C14" s="1"/>
  <c r="J78" i="14" l="1"/>
  <c r="I19" i="18"/>
  <c r="M16"/>
  <c r="M19" s="1"/>
  <c r="E13" i="14"/>
  <c r="E15" s="1"/>
  <c r="E23" s="1"/>
  <c r="J19" i="18"/>
  <c r="Q15" i="14"/>
  <c r="Q23" s="1"/>
  <c r="Q13" i="48"/>
  <c r="L7"/>
  <c r="L24" s="1"/>
  <c r="M22" i="14"/>
  <c r="L12" i="17"/>
  <c r="M48" i="14" s="1"/>
  <c r="O22"/>
  <c r="R22" s="1"/>
  <c r="N12" i="17"/>
  <c r="O48" i="14" s="1"/>
  <c r="N7" i="48"/>
  <c r="N24" s="1"/>
  <c r="D8"/>
  <c r="D25" s="1"/>
  <c r="D31" s="1"/>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C78" i="14" l="1"/>
  <c r="C81" s="1"/>
  <c r="J81"/>
  <c r="Q7" i="48"/>
  <c r="D14"/>
  <c r="N19" i="14"/>
  <c r="N20" s="1"/>
  <c r="N23" s="1"/>
  <c r="M9" i="48"/>
  <c r="Q9" s="1"/>
  <c r="P55" i="14"/>
  <c r="O31" i="48"/>
  <c r="J18" i="16"/>
  <c r="J8" i="48" s="1"/>
  <c r="J25" s="1"/>
  <c r="N18" i="16"/>
  <c r="N8" i="48" s="1"/>
  <c r="E18" i="16"/>
  <c r="E22" s="1"/>
  <c r="F39" i="14" s="1"/>
  <c r="F41" s="1"/>
  <c r="F53" s="1"/>
  <c r="O14" i="48"/>
  <c r="F18" i="16"/>
  <c r="G13" i="14" s="1"/>
  <c r="G15" s="1"/>
  <c r="G23" s="1"/>
  <c r="J69"/>
  <c r="C67"/>
  <c r="C69" s="1"/>
  <c r="B14" i="48"/>
  <c r="K13" i="14"/>
  <c r="K15" s="1"/>
  <c r="K23" s="1"/>
  <c r="H46"/>
  <c r="H53" s="1"/>
  <c r="G26" i="48"/>
  <c r="G14"/>
  <c r="G27"/>
  <c r="Q10"/>
  <c r="R18" i="14"/>
  <c r="H20"/>
  <c r="H23" s="1"/>
  <c r="M26" i="48"/>
  <c r="M31" s="1"/>
  <c r="M14"/>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F8" i="48"/>
  <c r="F14" s="1"/>
  <c r="R19" i="14"/>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<sst xmlns="http://schemas.openxmlformats.org/spreadsheetml/2006/main" count="2225" uniqueCount="938">
  <si>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</si>
  <si>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</si>
  <si>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</si>
  <si>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</si>
  <si>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</si>
  <si>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</si>
  <si>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</si>
  <si>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</si>
  <si>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</si>
  <si>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</si>
  <si>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</si>
  <si>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</si>
  <si>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</si>
  <si>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</si>
  <si>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</si>
  <si>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</si>
  <si>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</si>
  <si>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</si>
  <si>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</si>
  <si>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</si>
  <si>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</si>
  <si>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</si>
  <si>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</si>
  <si>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</si>
  <si>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</si>
  <si>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</si>
  <si>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</si>
  <si>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</si>
  <si>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</si>
  <si>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</si>
  <si>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</si>
  <si>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</si>
  <si>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</si>
  <si>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</si>
  <si>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</si>
  <si>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</si>
  <si>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</si>
  <si>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</si>
  <si>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</si>
  <si>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</si>
  <si>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</si>
  <si>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</si>
  <si>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</si>
  <si>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</si>
  <si>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</si>
  <si>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</si>
  <si>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</si>
  <si>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</si>
  <si>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</si>
  <si>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</si>
  <si>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</si>
  <si>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</si>
  <si>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</si>
  <si>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</si>
  <si>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</si>
  <si>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</si>
  <si>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</si>
  <si>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</si>
  <si>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</si>
  <si>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</si>
  <si>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</si>
  <si>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</si>
  <si>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</si>
  <si>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</si>
  <si>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</si>
  <si>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</si>
  <si>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</si>
  <si>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</si>
  <si>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</si>
  <si>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</si>
  <si>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</si>
  <si>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</si>
  <si>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</si>
  <si>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</si>
  <si>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</si>
  <si>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</si>
  <si>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</si>
  <si>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</si>
  <si>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</si>
  <si>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</si>
  <si>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</si>
  <si>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</si>
  <si>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</si>
  <si>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</si>
  <si>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</si>
  <si>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</si>
  <si>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</si>
  <si>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</si>
  <si>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</si>
  <si>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</si>
  <si>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</si>
  <si>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</si>
  <si>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</si>
  <si>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</si>
  <si>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</si>
  <si>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</si>
  <si>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</si>
  <si>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</si>
  <si>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</si>
  <si>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</si>
  <si>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</si>
  <si>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</si>
  <si>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</si>
  <si>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</si>
  <si>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</si>
  <si>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</si>
  <si>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</si>
  <si>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</si>
  <si>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</si>
  <si>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</si>
  <si>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</si>
  <si>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</si>
  <si>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</si>
  <si>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</si>
  <si>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</si>
  <si>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</si>
  <si>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</si>
  <si>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</si>
  <si>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</si>
  <si>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</si>
  <si>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</si>
  <si>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</si>
  <si>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</si>
  <si>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</si>
  <si>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</si>
  <si>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</si>
  <si>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</si>
  <si>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</si>
  <si>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</si>
  <si>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</si>
  <si>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</si>
  <si>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</si>
  <si>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</si>
  <si>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</si>
  <si>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</si>
  <si>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</si>
  <si>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</si>
  <si>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</si>
  <si>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</si>
  <si>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</si>
  <si>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</si>
  <si>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</si>
  <si>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</si>
  <si>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</si>
  <si>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</si>
  <si>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</si>
  <si>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</si>
  <si>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</si>
  <si>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</si>
  <si>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</si>
  <si>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</si>
  <si>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</si>
  <si>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</si>
  <si>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</si>
  <si>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</si>
  <si>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</si>
  <si>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</si>
  <si>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</si>
  <si>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</si>
  <si>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</si>
  <si>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</si>
  <si>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</si>
  <si>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</si>
  <si>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</si>
  <si>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</si>
  <si>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</si>
  <si>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</si>
  <si>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</si>
  <si>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</si>
  <si>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</si>
  <si>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</si>
  <si>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</si>
  <si>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</si>
  <si>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</si>
  <si>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</si>
  <si>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</si>
  <si>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</si>
  <si>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</si>
  <si>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</si>
  <si>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</si>
  <si>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</si>
  <si>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</si>
  <si>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</si>
  <si>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</si>
  <si>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</si>
  <si>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</si>
  <si>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</si>
  <si>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</si>
  <si>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</si>
  <si>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</si>
  <si>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</si>
  <si>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</si>
  <si>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</si>
  <si>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</si>
  <si>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</si>
  <si>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</si>
  <si>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</si>
  <si>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</si>
  <si>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</si>
  <si>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</si>
  <si>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</si>
  <si>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</si>
  <si>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</si>
  <si>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</si>
  <si>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</si>
  <si>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</si>
  <si>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</si>
  <si>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</si>
  <si>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</si>
  <si>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</si>
  <si>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</si>
  <si>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</si>
  <si>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</si>
  <si>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</si>
  <si>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</si>
  <si>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</si>
  <si>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</si>
  <si>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</si>
  <si>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</si>
  <si>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</si>
  <si>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</si>
  <si>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</si>
  <si>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</si>
  <si>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</si>
  <si>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</si>
  <si>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</si>
  <si>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</si>
  <si>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</si>
  <si>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</si>
  <si>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</si>
  <si>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</si>
  <si>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</si>
  <si>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</si>
  <si>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</si>
  <si>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</si>
  <si>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</si>
  <si>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</si>
  <si>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</si>
  <si>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</si>
  <si>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</si>
  <si>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</si>
  <si>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</si>
  <si>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</si>
  <si>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</si>
  <si>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</si>
  <si>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</si>
  <si>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</si>
  <si>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</si>
  <si>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</si>
  <si>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</si>
  <si>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</si>
  <si>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</si>
  <si>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</si>
  <si>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</si>
  <si>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</si>
  <si>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</si>
  <si>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</si>
  <si>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</si>
  <si>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</si>
  <si>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</si>
  <si>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</si>
  <si>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</si>
  <si>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</si>
  <si>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</si>
  <si>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</si>
  <si>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</si>
  <si>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</si>
  <si>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</si>
  <si>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</si>
  <si>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</si>
  <si>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</si>
  <si>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</si>
  <si>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</si>
  <si>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</si>
  <si>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</si>
  <si>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</si>
  <si>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</si>
  <si>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</si>
  <si>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</si>
  <si>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</si>
  <si>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</si>
  <si>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</si>
  <si>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</si>
  <si>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</si>
  <si>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</si>
  <si>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</si>
  <si>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</si>
  <si>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</si>
  <si>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</si>
  <si>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</si>
  <si>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</si>
  <si>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</si>
  <si>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</si>
  <si>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</si>
  <si>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</si>
  <si>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</si>
  <si>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</si>
  <si>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</si>
  <si>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</si>
  <si>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</si>
  <si>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</si>
  <si>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</si>
  <si>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</si>
  <si>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</si>
  <si>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</si>
  <si>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</si>
  <si>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</si>
  <si>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</si>
  <si>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</si>
  <si>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</si>
  <si>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</si>
  <si>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</si>
  <si>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</si>
  <si>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</si>
  <si>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</si>
  <si>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</si>
  <si>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</si>
  <si>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</si>
  <si>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</si>
  <si>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</si>
  <si>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</si>
  <si>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</si>
  <si>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</si>
  <si>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</si>
  <si>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</si>
  <si>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</si>
  <si>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</si>
  <si>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</si>
  <si>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</si>
  <si>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</si>
  <si>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</si>
  <si>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</si>
  <si>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</si>
  <si>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</si>
  <si>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</si>
  <si>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</si>
  <si>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</si>
  <si>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</si>
  <si>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</si>
  <si>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</si>
  <si>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</si>
  <si>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</si>
  <si>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</si>
  <si>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</si>
  <si>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</si>
  <si>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</si>
  <si>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</si>
  <si>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</si>
  <si>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</si>
  <si>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</si>
  <si>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</si>
  <si>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</si>
  <si>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</si>
  <si>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</si>
  <si>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</si>
  <si>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</si>
  <si>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</si>
  <si>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</si>
  <si>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</si>
  <si>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</si>
  <si>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</si>
  <si>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</si>
  <si>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</si>
  <si>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</si>
  <si>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</si>
  <si>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</si>
  <si>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</si>
  <si>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</si>
  <si>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</si>
  <si>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</si>
  <si>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</si>
  <si>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</si>
  <si>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</si>
  <si>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</si>
  <si>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</si>
  <si>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</si>
  <si>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</si>
  <si>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</si>
  <si>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</si>
  <si>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</si>
  <si>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</si>
  <si>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</si>
  <si>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</si>
  <si>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</si>
  <si>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</si>
  <si>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</si>
  <si>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</si>
  <si>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</si>
  <si>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</si>
  <si>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</si>
  <si>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</si>
  <si>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</si>
  <si>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</si>
  <si>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</si>
  <si>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</si>
  <si>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</si>
  <si>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</si>
  <si>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</si>
  <si>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</si>
  <si>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</si>
  <si>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</si>
  <si>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</si>
  <si>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</si>
  <si>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</si>
  <si>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</si>
  <si>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</si>
  <si>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</si>
  <si>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</si>
  <si>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</si>
  <si>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</si>
  <si>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</si>
  <si>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</si>
  <si>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</si>
  <si>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</si>
  <si>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</si>
  <si>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</si>
  <si>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</si>
  <si>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</si>
  <si>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</si>
  <si>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</si>
  <si>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</si>
  <si>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</si>
  <si>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</si>
  <si>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</si>
  <si>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</si>
  <si>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</si>
  <si>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</si>
  <si>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</si>
  <si>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</si>
  <si>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</si>
  <si>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</si>
  <si>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</si>
  <si>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</si>
  <si>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</si>
  <si>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</si>
  <si>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</si>
  <si>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</si>
  <si>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</si>
  <si>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</si>
  <si>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</si>
  <si>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</si>
  <si>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</si>
  <si>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</si>
  <si>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</si>
  <si>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</si>
  <si>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</si>
  <si>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</si>
  <si>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</si>
  <si>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</si>
  <si>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</si>
  <si>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</si>
  <si>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</si>
  <si>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</si>
  <si>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</si>
  <si>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</si>
  <si>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</si>
  <si>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</si>
  <si>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</si>
  <si>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</si>
  <si>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</si>
  <si>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</si>
  <si>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</si>
  <si>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</si>
  <si>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</si>
  <si>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</si>
  <si>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</si>
  <si>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</si>
  <si>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</si>
  <si>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</si>
  <si>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</si>
  <si>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</si>
  <si>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</si>
  <si>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</si>
  <si>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</si>
  <si>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</si>
  <si>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</si>
  <si>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</si>
  <si>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</si>
  <si>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</si>
  <si>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</si>
  <si>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</si>
  <si>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</si>
  <si>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</si>
  <si>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</si>
  <si>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</si>
  <si>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</si>
  <si>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</si>
  <si>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</si>
  <si>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</si>
  <si>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</si>
  <si>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</si>
  <si>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</si>
  <si>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</si>
  <si>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</si>
  <si>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</si>
  <si>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</si>
  <si>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</si>
  <si>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</si>
  <si>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</si>
  <si>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</si>
  <si>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</si>
  <si>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</si>
  <si>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</si>
  <si>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</si>
  <si>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</si>
  <si>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</si>
  <si>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</si>
  <si>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</si>
  <si>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</si>
  <si>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</si>
  <si>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</si>
  <si>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</si>
  <si>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</si>
  <si>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</si>
  <si>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</si>
  <si>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</si>
  <si>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</si>
  <si>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</si>
  <si>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</si>
  <si>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</si>
  <si>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</si>
  <si>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</si>
  <si>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</si>
  <si>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</si>
  <si>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</si>
  <si>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</si>
  <si>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</si>
  <si>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</si>
  <si>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</si>
  <si>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</si>
  <si>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</si>
  <si>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</si>
  <si>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</si>
  <si>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</si>
  <si>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</si>
  <si>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</si>
  <si>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</si>
  <si>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</si>
  <si>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</si>
  <si>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</si>
  <si>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</si>
  <si>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</si>
  <si>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</si>
  <si>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</si>
  <si>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</si>
  <si>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</si>
  <si>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</si>
  <si>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</si>
  <si>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</si>
  <si>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</si>
  <si>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</si>
  <si>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</si>
  <si>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</si>
  <si>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</si>
  <si>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</si>
  <si>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</si>
  <si>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</si>
  <si>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</si>
  <si>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</si>
  <si>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</si>
  <si>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</si>
  <si>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</si>
  <si>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</si>
  <si>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</si>
  <si>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</si>
  <si>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</si>
  <si>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</si>
  <si>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</si>
  <si>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</si>
  <si>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</si>
  <si>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</si>
  <si>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</si>
  <si>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</si>
  <si>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</si>
  <si>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</si>
  <si>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</si>
  <si>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</si>
  <si>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</si>
  <si>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</si>
  <si>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</si>
  <si>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</si>
  <si>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</si>
  <si>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</si>
  <si>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</si>
  <si>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</si>
  <si>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</si>
  <si>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</si>
  <si>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</si>
  <si>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</si>
  <si>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</si>
  <si>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</si>
  <si>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</si>
  <si>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</si>
  <si>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</si>
  <si>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</si>
  <si>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</si>
  <si>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</si>
  <si>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</si>
  <si>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</si>
  <si>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</si>
  <si>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</si>
  <si>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</si>
  <si>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</si>
  <si>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</si>
  <si>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</si>
  <si>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</si>
  <si>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</si>
  <si>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</si>
  <si>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</si>
  <si>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</si>
  <si>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</si>
  <si>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</si>
  <si>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</si>
  <si>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</si>
  <si>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</si>
  <si>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</si>
  <si>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</si>
  <si>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</si>
  <si>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</si>
  <si>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</si>
  <si>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</si>
  <si>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</si>
  <si>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</si>
  <si>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</si>
  <si>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</si>
  <si>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</si>
  <si>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</si>
  <si>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</si>
  <si>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</si>
  <si>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</si>
  <si>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</si>
  <si>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</si>
  <si>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</si>
  <si>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</si>
  <si>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</si>
  <si>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</si>
  <si>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</si>
  <si>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</si>
  <si>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</si>
  <si>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</si>
  <si>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</si>
  <si>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</si>
  <si>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</si>
  <si>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</si>
  <si>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</si>
  <si>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</si>
  <si>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</si>
  <si>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</si>
  <si>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</si>
  <si>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</si>
  <si>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</si>
  <si>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</si>
  <si>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</si>
  <si>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</si>
  <si>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</si>
  <si>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</si>
  <si>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</si>
  <si>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</si>
  <si>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</si>
  <si>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</si>
  <si>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</si>
  <si>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</si>
  <si>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</si>
  <si>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</si>
  <si>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</si>
  <si>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</si>
  <si>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</si>
  <si>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</si>
  <si>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</si>
  <si>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</si>
  <si>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</si>
  <si>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</si>
  <si>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</si>
  <si>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</si>
  <si>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</si>
  <si>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</si>
  <si>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</si>
  <si>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</si>
  <si>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</si>
  <si>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</si>
  <si>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</si>
  <si>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</si>
  <si>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</si>
  <si>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</si>
  <si>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</si>
  <si>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</si>
  <si>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</si>
  <si>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</si>
  <si>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</si>
  <si>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</si>
  <si>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</si>
  <si>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</si>
  <si>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</si>
  <si>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</si>
  <si>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</si>
  <si>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</si>
  <si>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</si>
  <si>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</si>
  <si>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</si>
  <si>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</si>
  <si>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</si>
  <si>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</si>
  <si>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</si>
  <si>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</si>
  <si>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</si>
  <si>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</si>
  <si>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</si>
  <si>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</si>
  <si>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</si>
  <si>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</si>
  <si>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</si>
  <si>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</si>
  <si>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</si>
  <si>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</si>
  <si>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</si>
  <si>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</si>
  <si>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</si>
  <si>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</si>
  <si>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</si>
  <si>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</si>
  <si>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</si>
  <si>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</si>
  <si>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</si>
  <si>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</si>
  <si>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</si>
  <si>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</si>
  <si>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</si>
  <si>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</si>
  <si>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</si>
  <si>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</si>
  <si>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</si>
  <si>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</si>
  <si>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</si>
  <si>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</si>
  <si>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</si>
  <si>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</si>
  <si>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</si>
  <si>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</si>
  <si>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</si>
  <si>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</si>
  <si>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</si>
  <si>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</si>
  <si>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</si>
  <si>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</si>
  <si>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</si>
  <si>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</si>
  <si>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</si>
  <si>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</si>
  <si>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</si>
  <si>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</si>
  <si>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</si>
  <si>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</si>
  <si>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</si>
  <si>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</si>
  <si>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</si>
  <si>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</si>
  <si>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</si>
  <si>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</si>
  <si>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</si>
  <si>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</si>
  <si>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</si>
  <si>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</si>
  <si>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</si>
  <si>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</si>
  <si>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</si>
  <si>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</si>
  <si>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</si>
  <si>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</si>
  <si>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</si>
  <si>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</si>
  <si>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</si>
  <si>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</si>
  <si>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</si>
  <si>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</si>
  <si>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</si>
  <si>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</si>
  <si>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</si>
  <si>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</si>
  <si>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</si>
  <si>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</si>
  <si>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</si>
  <si>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</si>
  <si>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</si>
  <si>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</si>
  <si>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</si>
  <si>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</si>
  <si>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</si>
  <si>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</si>
  <si>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</si>
  <si>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</si>
  <si>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</si>
  <si>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</si>
  <si>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</si>
  <si>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</si>
  <si>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</si>
  <si>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</si>
  <si>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</si>
  <si>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</si>
  <si>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</si>
  <si>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</si>
  <si>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</si>
  <si>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</si>
  <si>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</si>
  <si>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</si>
  <si>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</si>
  <si>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</si>
  <si>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</si>
  <si>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</si>
  <si>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</si>
  <si>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</si>
  <si>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</si>
  <si>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</si>
  <si>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</si>
  <si>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</si>
  <si>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</si>
  <si>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</si>
  <si>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</si>
  <si>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</si>
  <si>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</si>
  <si>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</si>
  <si>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</si>
  <si>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</si>
  <si>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</si>
  <si>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</si>
  <si>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</si>
  <si>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</si>
  <si>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</si>
  <si>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</si>
  <si>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</si>
  <si>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</si>
  <si>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</si>
  <si>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</si>
  <si>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</si>
  <si>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</si>
  <si>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</si>
  <si>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</si>
  <si>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</si>
  <si>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</si>
  <si>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</si>
  <si>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</si>
  <si>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</si>
  <si>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</si>
  <si>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</si>
  <si>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</si>
  <si>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</si>
  <si>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</si>
  <si>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</si>
  <si>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</si>
  <si>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</si>
  <si>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</si>
  <si>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</si>
  <si>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</si>
  <si>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</si>
  <si>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</si>
  <si>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</si>
  <si>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</si>
  <si>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</si>
  <si>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</si>
  <si>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</si>
  <si>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</si>
  <si>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</si>
  <si>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</si>
  <si>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</si>
  <si>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</si>
  <si>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</si>
  <si>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</si>
  <si>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</si>
  <si>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</si>
  <si>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</si>
  <si>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</si>
  <si>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</si>
  <si>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</si>
  <si>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</si>
  <si>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</si>
  <si>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</si>
  <si>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</si>
  <si>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</si>
  <si>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</si>
  <si>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</si>
  <si>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</si>
  <si>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</si>
  <si>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</si>
  <si>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</si>
  <si>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</si>
  <si>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</si>
  <si>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</si>
  <si>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</si>
  <si>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</si>
  <si>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</si>
  <si>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</si>
  <si>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</si>
  <si>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</si>
  <si>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</si>
  <si>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</si>
  <si>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</si>
  <si>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</si>
  <si>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</si>
  <si>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</si>
  <si>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</si>
  <si>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</si>
  <si>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</si>
  <si>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</si>
  <si>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</si>
  <si>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</si>
  <si>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</si>
  <si>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</si>
  <si>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</si>
  <si>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</si>
  <si>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</si>
  <si>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</si>
  <si>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</si>
  <si>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</si>
  <si>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</si>
  <si>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</si>
  <si>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</si>
  <si>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</si>
  <si>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</si>
  <si>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</si>
  <si>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</si>
  <si>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</si>
  <si>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</si>
  <si>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</si>
  <si>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34025</t>
  </si>
  <si>
    <t>LENDELEDE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</si>
  <si>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</si>
  <si>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</si>
  <si>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</si>
  <si>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</si>
  <si>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</si>
  <si>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</si>
  <si>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</si>
  <si>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Aspiravi NV</t>
  </si>
  <si>
    <t>Vaarnewijkstraat 18, 8530 Harelbeke</t>
  </si>
  <si>
    <t>BGS-0032 Stevan Stort</t>
  </si>
  <si>
    <t>biogas - stortgas</t>
  </si>
  <si>
    <t>niet WKK interne verbrandingsmotor (gas)</t>
  </si>
  <si>
    <t>Heulsestraat 87, 8860 Lendelede</t>
  </si>
  <si>
    <t>Infrax 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</si>
</sst>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34025</v>
      </c>
      <c r="B6" s="396"/>
      <c r="C6" s="397"/>
    </row>
    <row r="7" spans="1:7" s="394" customFormat="1" ht="15.75" customHeight="1">
      <c r="A7" s="398" t="str">
        <f>txtMunicipality</f>
        <v>LENDELEDE</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34025</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2308</v>
      </c>
      <c r="C9" s="336">
        <v>2363</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863</v>
      </c>
    </row>
    <row r="15" spans="1:6">
      <c r="A15" s="1251" t="s">
        <v>185</v>
      </c>
      <c r="B15" s="333">
        <v>11</v>
      </c>
    </row>
    <row r="16" spans="1:6">
      <c r="A16" s="1251" t="s">
        <v>6</v>
      </c>
      <c r="B16" s="333">
        <v>505</v>
      </c>
    </row>
    <row r="17" spans="1:6">
      <c r="A17" s="1251" t="s">
        <v>7</v>
      </c>
      <c r="B17" s="333">
        <v>183</v>
      </c>
    </row>
    <row r="18" spans="1:6">
      <c r="A18" s="1251" t="s">
        <v>8</v>
      </c>
      <c r="B18" s="333">
        <v>312</v>
      </c>
    </row>
    <row r="19" spans="1:6">
      <c r="A19" s="1251" t="s">
        <v>9</v>
      </c>
      <c r="B19" s="333">
        <v>335</v>
      </c>
    </row>
    <row r="20" spans="1:6">
      <c r="A20" s="1251" t="s">
        <v>10</v>
      </c>
      <c r="B20" s="333">
        <v>316</v>
      </c>
    </row>
    <row r="21" spans="1:6">
      <c r="A21" s="1251" t="s">
        <v>11</v>
      </c>
      <c r="B21" s="333">
        <v>1493</v>
      </c>
    </row>
    <row r="22" spans="1:6">
      <c r="A22" s="1251" t="s">
        <v>12</v>
      </c>
      <c r="B22" s="333">
        <v>8042</v>
      </c>
    </row>
    <row r="23" spans="1:6">
      <c r="A23" s="1251" t="s">
        <v>13</v>
      </c>
      <c r="B23" s="333">
        <v>98</v>
      </c>
    </row>
    <row r="24" spans="1:6">
      <c r="A24" s="1251" t="s">
        <v>14</v>
      </c>
      <c r="B24" s="333">
        <v>1</v>
      </c>
    </row>
    <row r="25" spans="1:6">
      <c r="A25" s="1251" t="s">
        <v>15</v>
      </c>
      <c r="B25" s="333">
        <v>488</v>
      </c>
    </row>
    <row r="26" spans="1:6">
      <c r="A26" s="1251" t="s">
        <v>16</v>
      </c>
      <c r="B26" s="333">
        <v>11</v>
      </c>
    </row>
    <row r="27" spans="1:6">
      <c r="A27" s="1251" t="s">
        <v>17</v>
      </c>
      <c r="B27" s="333">
        <v>0</v>
      </c>
    </row>
    <row r="28" spans="1:6">
      <c r="A28" s="1251" t="s">
        <v>18</v>
      </c>
      <c r="B28" s="333">
        <v>61336</v>
      </c>
    </row>
    <row r="29" spans="1:6">
      <c r="A29" s="1251" t="s">
        <v>925</v>
      </c>
      <c r="B29" s="333">
        <v>40</v>
      </c>
    </row>
    <row r="30" spans="1:6">
      <c r="A30" s="1247" t="s">
        <v>926</v>
      </c>
      <c r="B30" s="1247">
        <v>10</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3</v>
      </c>
      <c r="F36" s="333">
        <v>8834</v>
      </c>
    </row>
    <row r="37" spans="1:6">
      <c r="A37" s="1251" t="s">
        <v>25</v>
      </c>
      <c r="B37" s="1251" t="s">
        <v>28</v>
      </c>
      <c r="C37" s="333">
        <v>0</v>
      </c>
      <c r="D37" s="333">
        <v>0</v>
      </c>
      <c r="E37" s="333">
        <v>0</v>
      </c>
      <c r="F37" s="333">
        <v>0</v>
      </c>
    </row>
    <row r="38" spans="1:6">
      <c r="A38" s="1251" t="s">
        <v>25</v>
      </c>
      <c r="B38" s="1251" t="s">
        <v>29</v>
      </c>
      <c r="C38" s="333">
        <v>1</v>
      </c>
      <c r="D38" s="333">
        <v>79025</v>
      </c>
      <c r="E38" s="333">
        <v>0</v>
      </c>
      <c r="F38" s="333">
        <v>0</v>
      </c>
    </row>
    <row r="39" spans="1:6">
      <c r="A39" s="1251" t="s">
        <v>30</v>
      </c>
      <c r="B39" s="1251" t="s">
        <v>31</v>
      </c>
      <c r="C39" s="333">
        <v>1595</v>
      </c>
      <c r="D39" s="333">
        <v>27119506</v>
      </c>
      <c r="E39" s="333">
        <v>2235</v>
      </c>
      <c r="F39" s="333">
        <v>11257678</v>
      </c>
    </row>
    <row r="40" spans="1:6">
      <c r="A40" s="1251" t="s">
        <v>30</v>
      </c>
      <c r="B40" s="1251" t="s">
        <v>29</v>
      </c>
      <c r="C40" s="333">
        <v>0</v>
      </c>
      <c r="D40" s="333">
        <v>0</v>
      </c>
      <c r="E40" s="333">
        <v>0</v>
      </c>
      <c r="F40" s="333">
        <v>0</v>
      </c>
    </row>
    <row r="41" spans="1:6">
      <c r="A41" s="1251" t="s">
        <v>32</v>
      </c>
      <c r="B41" s="1251" t="s">
        <v>33</v>
      </c>
      <c r="C41" s="333">
        <v>20</v>
      </c>
      <c r="D41" s="333">
        <v>632442</v>
      </c>
      <c r="E41" s="333">
        <v>65</v>
      </c>
      <c r="F41" s="333">
        <v>759158</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5</v>
      </c>
      <c r="D44" s="333">
        <v>182383</v>
      </c>
      <c r="E44" s="333">
        <v>15</v>
      </c>
      <c r="F44" s="333">
        <v>371022</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1</v>
      </c>
      <c r="D48" s="333">
        <v>8747</v>
      </c>
      <c r="E48" s="333">
        <v>2</v>
      </c>
      <c r="F48" s="333">
        <v>51384</v>
      </c>
    </row>
    <row r="49" spans="1:6">
      <c r="A49" s="1251" t="s">
        <v>32</v>
      </c>
      <c r="B49" s="1251" t="s">
        <v>40</v>
      </c>
      <c r="C49" s="333">
        <v>4</v>
      </c>
      <c r="D49" s="333">
        <v>202414</v>
      </c>
      <c r="E49" s="333">
        <v>9</v>
      </c>
      <c r="F49" s="333">
        <v>102614</v>
      </c>
    </row>
    <row r="50" spans="1:6">
      <c r="A50" s="1251" t="s">
        <v>32</v>
      </c>
      <c r="B50" s="1251" t="s">
        <v>41</v>
      </c>
      <c r="C50" s="333">
        <v>5</v>
      </c>
      <c r="D50" s="333">
        <v>15452303</v>
      </c>
      <c r="E50" s="333">
        <v>14</v>
      </c>
      <c r="F50" s="333">
        <v>12939224</v>
      </c>
    </row>
    <row r="51" spans="1:6">
      <c r="A51" s="1251" t="s">
        <v>42</v>
      </c>
      <c r="B51" s="1251" t="s">
        <v>43</v>
      </c>
      <c r="C51" s="333">
        <v>10</v>
      </c>
      <c r="D51" s="333">
        <v>280130</v>
      </c>
      <c r="E51" s="333">
        <v>64</v>
      </c>
      <c r="F51" s="333">
        <v>1202493</v>
      </c>
    </row>
    <row r="52" spans="1:6">
      <c r="A52" s="1251" t="s">
        <v>42</v>
      </c>
      <c r="B52" s="1251" t="s">
        <v>29</v>
      </c>
      <c r="C52" s="333">
        <v>0</v>
      </c>
      <c r="D52" s="333">
        <v>0</v>
      </c>
      <c r="E52" s="333">
        <v>0</v>
      </c>
      <c r="F52" s="333">
        <v>0</v>
      </c>
    </row>
    <row r="53" spans="1:6">
      <c r="A53" s="1251" t="s">
        <v>44</v>
      </c>
      <c r="B53" s="1251" t="s">
        <v>45</v>
      </c>
      <c r="C53" s="333">
        <v>0</v>
      </c>
      <c r="D53" s="333">
        <v>0</v>
      </c>
      <c r="E53" s="333">
        <v>0</v>
      </c>
      <c r="F53" s="333">
        <v>0</v>
      </c>
    </row>
    <row r="54" spans="1:6">
      <c r="A54" s="1251" t="s">
        <v>46</v>
      </c>
      <c r="B54" s="1251" t="s">
        <v>47</v>
      </c>
      <c r="C54" s="333">
        <v>0</v>
      </c>
      <c r="D54" s="333">
        <v>0</v>
      </c>
      <c r="E54" s="333">
        <v>25</v>
      </c>
      <c r="F54" s="333">
        <v>454368</v>
      </c>
    </row>
    <row r="55" spans="1:6">
      <c r="A55" s="1251" t="s">
        <v>46</v>
      </c>
      <c r="B55" s="1251" t="s">
        <v>29</v>
      </c>
      <c r="C55" s="333">
        <v>0</v>
      </c>
      <c r="D55" s="333">
        <v>0</v>
      </c>
      <c r="E55" s="333">
        <v>0</v>
      </c>
      <c r="F55" s="333">
        <v>0</v>
      </c>
    </row>
    <row r="56" spans="1:6">
      <c r="A56" s="1251" t="s">
        <v>48</v>
      </c>
      <c r="B56" s="1251" t="s">
        <v>29</v>
      </c>
      <c r="C56" s="333">
        <v>17</v>
      </c>
      <c r="D56" s="333">
        <v>1562073</v>
      </c>
      <c r="E56" s="333">
        <v>48</v>
      </c>
      <c r="F56" s="333">
        <v>783540</v>
      </c>
    </row>
    <row r="57" spans="1:6">
      <c r="A57" s="1251" t="s">
        <v>49</v>
      </c>
      <c r="B57" s="1251" t="s">
        <v>50</v>
      </c>
      <c r="C57" s="333">
        <v>13</v>
      </c>
      <c r="D57" s="333">
        <v>477058</v>
      </c>
      <c r="E57" s="333">
        <v>47</v>
      </c>
      <c r="F57" s="333">
        <v>675736</v>
      </c>
    </row>
    <row r="58" spans="1:6">
      <c r="A58" s="1251" t="s">
        <v>49</v>
      </c>
      <c r="B58" s="1251" t="s">
        <v>51</v>
      </c>
      <c r="C58" s="333">
        <v>0</v>
      </c>
      <c r="D58" s="333">
        <v>0</v>
      </c>
      <c r="E58" s="333">
        <v>3</v>
      </c>
      <c r="F58" s="333">
        <v>304796</v>
      </c>
    </row>
    <row r="59" spans="1:6">
      <c r="A59" s="1251" t="s">
        <v>49</v>
      </c>
      <c r="B59" s="1251" t="s">
        <v>52</v>
      </c>
      <c r="C59" s="333">
        <v>31</v>
      </c>
      <c r="D59" s="333">
        <v>1609270</v>
      </c>
      <c r="E59" s="333">
        <v>80</v>
      </c>
      <c r="F59" s="333">
        <v>2288685</v>
      </c>
    </row>
    <row r="60" spans="1:6">
      <c r="A60" s="1251" t="s">
        <v>49</v>
      </c>
      <c r="B60" s="1251" t="s">
        <v>53</v>
      </c>
      <c r="C60" s="333">
        <v>8</v>
      </c>
      <c r="D60" s="333">
        <v>196402</v>
      </c>
      <c r="E60" s="333">
        <v>10</v>
      </c>
      <c r="F60" s="333">
        <v>114288</v>
      </c>
    </row>
    <row r="61" spans="1:6">
      <c r="A61" s="1251" t="s">
        <v>49</v>
      </c>
      <c r="B61" s="1251" t="s">
        <v>54</v>
      </c>
      <c r="C61" s="333">
        <v>26</v>
      </c>
      <c r="D61" s="333">
        <v>675846</v>
      </c>
      <c r="E61" s="333">
        <v>66</v>
      </c>
      <c r="F61" s="333">
        <v>611160</v>
      </c>
    </row>
    <row r="62" spans="1:6">
      <c r="A62" s="1251" t="s">
        <v>49</v>
      </c>
      <c r="B62" s="1251" t="s">
        <v>55</v>
      </c>
      <c r="C62" s="333">
        <v>0</v>
      </c>
      <c r="D62" s="333">
        <v>0</v>
      </c>
      <c r="E62" s="333">
        <v>3</v>
      </c>
      <c r="F62" s="333">
        <v>125345</v>
      </c>
    </row>
    <row r="63" spans="1:6">
      <c r="A63" s="1251" t="s">
        <v>49</v>
      </c>
      <c r="B63" s="1251" t="s">
        <v>29</v>
      </c>
      <c r="C63" s="333">
        <v>4</v>
      </c>
      <c r="D63" s="333">
        <v>1247800</v>
      </c>
      <c r="E63" s="333">
        <v>0</v>
      </c>
      <c r="F63" s="333">
        <v>0</v>
      </c>
    </row>
    <row r="64" spans="1:6">
      <c r="A64" s="1251" t="s">
        <v>56</v>
      </c>
      <c r="B64" s="1251" t="s">
        <v>57</v>
      </c>
      <c r="C64" s="333">
        <v>0</v>
      </c>
      <c r="D64" s="333">
        <v>0</v>
      </c>
      <c r="E64" s="333">
        <v>0</v>
      </c>
      <c r="F64" s="333">
        <v>0</v>
      </c>
    </row>
    <row r="65" spans="1:6">
      <c r="A65" s="1251" t="s">
        <v>56</v>
      </c>
      <c r="B65" s="1251" t="s">
        <v>29</v>
      </c>
      <c r="C65" s="333">
        <v>1</v>
      </c>
      <c r="D65" s="333">
        <v>51367</v>
      </c>
      <c r="E65" s="333">
        <v>0</v>
      </c>
      <c r="F65" s="333">
        <v>0</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5</v>
      </c>
      <c r="F68" s="333">
        <v>41591</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17446723</v>
      </c>
      <c r="E73" s="333">
        <v>17281545.64641786</v>
      </c>
      <c r="F73" s="333">
        <v>17759132</v>
      </c>
    </row>
    <row r="74" spans="1:6">
      <c r="A74" s="1251" t="s">
        <v>64</v>
      </c>
      <c r="B74" s="1251" t="s">
        <v>775</v>
      </c>
      <c r="C74" s="1262" t="s">
        <v>776</v>
      </c>
      <c r="D74" s="333">
        <v>2041311.6914645543</v>
      </c>
      <c r="E74" s="333">
        <v>2056662.2180149334</v>
      </c>
      <c r="F74" s="333">
        <v>2083330.2402657766</v>
      </c>
    </row>
    <row r="75" spans="1:6">
      <c r="A75" s="1251" t="s">
        <v>65</v>
      </c>
      <c r="B75" s="1251" t="s">
        <v>773</v>
      </c>
      <c r="C75" s="1262" t="s">
        <v>777</v>
      </c>
      <c r="D75" s="333">
        <v>10530571</v>
      </c>
      <c r="E75" s="333">
        <v>10552091.961140817</v>
      </c>
      <c r="F75" s="333">
        <v>10715909</v>
      </c>
    </row>
    <row r="76" spans="1:6">
      <c r="A76" s="1251" t="s">
        <v>65</v>
      </c>
      <c r="B76" s="1251" t="s">
        <v>775</v>
      </c>
      <c r="C76" s="1262" t="s">
        <v>778</v>
      </c>
      <c r="D76" s="333">
        <v>758037.69146455429</v>
      </c>
      <c r="E76" s="333">
        <v>764169.48953194253</v>
      </c>
      <c r="F76" s="333">
        <v>777102.24026577652</v>
      </c>
    </row>
    <row r="77" spans="1:6">
      <c r="A77" s="1251" t="s">
        <v>66</v>
      </c>
      <c r="B77" s="1251" t="s">
        <v>773</v>
      </c>
      <c r="C77" s="1262" t="s">
        <v>779</v>
      </c>
      <c r="D77" s="333">
        <v>0</v>
      </c>
      <c r="E77" s="333">
        <v>0</v>
      </c>
      <c r="F77" s="333">
        <v>0</v>
      </c>
    </row>
    <row r="78" spans="1:6">
      <c r="A78" s="1247" t="s">
        <v>66</v>
      </c>
      <c r="B78" s="1247" t="s">
        <v>775</v>
      </c>
      <c r="C78" s="1247" t="s">
        <v>780</v>
      </c>
      <c r="D78" s="1247">
        <v>0</v>
      </c>
      <c r="E78" s="1247">
        <v>0</v>
      </c>
      <c r="F78" s="336">
        <v>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48644.61707089148</v>
      </c>
      <c r="C83" s="333">
        <v>43826.476444278182</v>
      </c>
      <c r="D83" s="333">
        <v>43455.519468446888</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568.4024049148619</v>
      </c>
    </row>
    <row r="92" spans="1:6">
      <c r="A92" s="1247" t="s">
        <v>69</v>
      </c>
      <c r="B92" s="336">
        <v>278.77313379582671</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1043</v>
      </c>
    </row>
    <row r="98" spans="1:6">
      <c r="A98" s="1251" t="s">
        <v>72</v>
      </c>
      <c r="B98" s="333">
        <v>0</v>
      </c>
    </row>
    <row r="99" spans="1:6">
      <c r="A99" s="1251" t="s">
        <v>73</v>
      </c>
      <c r="B99" s="333">
        <v>25</v>
      </c>
    </row>
    <row r="100" spans="1:6">
      <c r="A100" s="1251" t="s">
        <v>74</v>
      </c>
      <c r="B100" s="333">
        <v>168</v>
      </c>
    </row>
    <row r="101" spans="1:6">
      <c r="A101" s="1251" t="s">
        <v>75</v>
      </c>
      <c r="B101" s="333">
        <v>52</v>
      </c>
    </row>
    <row r="102" spans="1:6">
      <c r="A102" s="1251" t="s">
        <v>76</v>
      </c>
      <c r="B102" s="333">
        <v>35</v>
      </c>
    </row>
    <row r="103" spans="1:6">
      <c r="A103" s="1251" t="s">
        <v>77</v>
      </c>
      <c r="B103" s="333">
        <v>81</v>
      </c>
    </row>
    <row r="104" spans="1:6">
      <c r="A104" s="1251" t="s">
        <v>78</v>
      </c>
      <c r="B104" s="333">
        <v>647</v>
      </c>
    </row>
    <row r="105" spans="1:6">
      <c r="A105" s="1247" t="s">
        <v>79</v>
      </c>
      <c r="B105" s="1247">
        <v>0</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0</v>
      </c>
      <c r="C123" s="333">
        <v>5</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18</v>
      </c>
    </row>
    <row r="130" spans="1:6">
      <c r="A130" s="1251" t="s">
        <v>296</v>
      </c>
      <c r="B130" s="333">
        <v>1</v>
      </c>
    </row>
    <row r="131" spans="1:6">
      <c r="A131" s="1251" t="s">
        <v>297</v>
      </c>
      <c r="B131" s="333">
        <v>1</v>
      </c>
    </row>
    <row r="132" spans="1:6">
      <c r="A132" s="1247" t="s">
        <v>298</v>
      </c>
      <c r="B132" s="336">
        <v>0</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33320.576776422393</v>
      </c>
      <c r="C3" s="43" t="s">
        <v>171</v>
      </c>
      <c r="D3" s="43"/>
      <c r="E3" s="156"/>
      <c r="F3" s="43"/>
      <c r="G3" s="43"/>
      <c r="H3" s="43"/>
      <c r="I3" s="43"/>
      <c r="J3" s="43"/>
      <c r="K3" s="96"/>
    </row>
    <row r="4" spans="1:11">
      <c r="A4" s="364" t="s">
        <v>172</v>
      </c>
      <c r="B4" s="49">
        <f>IF(ISERROR('SEAP template'!B69),0,'SEAP template'!B69)</f>
        <v>2341.1755387106887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0.20547206368825002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454.36799999999999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454.36799999999999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0.20547206368825002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93.359930633902792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11257.678</v>
      </c>
      <c r="C5" s="17">
        <f>IF(ISERROR('Eigen informatie GS &amp; warmtenet'!B57),0,'Eigen informatie GS &amp; warmtenet'!B57)</f>
        <v>0</v>
      </c>
      <c r="D5" s="30">
        <f>(SUM(HH_hh_gas_kWh,HH_rest_gas_kWh)/1000)*0.902</f>
        <v>24461.794412000003</v>
      </c>
      <c r="E5" s="17">
        <f>B46*B57</f>
        <v>1127.1345878025743</v>
      </c>
      <c r="F5" s="17">
        <f>B51*B62</f>
        <v>3424.8763002675046</v>
      </c>
      <c r="G5" s="18"/>
      <c r="H5" s="17"/>
      <c r="I5" s="17"/>
      <c r="J5" s="17">
        <f>B50*B61+C50*C61</f>
        <v>740.10004762447511</v>
      </c>
      <c r="K5" s="17"/>
      <c r="L5" s="17"/>
      <c r="M5" s="17"/>
      <c r="N5" s="17">
        <f>B48*B59+C48*C59</f>
        <v>6783.26857640459</v>
      </c>
      <c r="O5" s="17">
        <f>B69*B70*B71</f>
        <v>35.956666666666671</v>
      </c>
      <c r="P5" s="17">
        <f>B77*B78*B79/1000-B77*B78*B79/1000/B80</f>
        <v>0</v>
      </c>
    </row>
    <row r="6" spans="1:16">
      <c r="A6" s="16" t="s">
        <v>633</v>
      </c>
      <c r="B6" s="830">
        <f>kWh_PV_kleiner_dan_10kW</f>
        <v>568.4024049148619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11826.080404914861</v>
      </c>
      <c r="C8" s="21">
        <f>C5</f>
        <v>0</v>
      </c>
      <c r="D8" s="21">
        <f>D5</f>
        <v>24461.794412000003</v>
      </c>
      <c r="E8" s="21">
        <f>E5</f>
        <v>1127.1345878025743</v>
      </c>
      <c r="F8" s="21">
        <f>F5</f>
        <v>3424.8763002675046</v>
      </c>
      <c r="G8" s="21"/>
      <c r="H8" s="21"/>
      <c r="I8" s="21"/>
      <c r="J8" s="21">
        <f>J5</f>
        <v>740.10004762447511</v>
      </c>
      <c r="K8" s="21"/>
      <c r="L8" s="21">
        <f>L5</f>
        <v>0</v>
      </c>
      <c r="M8" s="21">
        <f>M5</f>
        <v>0</v>
      </c>
      <c r="N8" s="21">
        <f>N5</f>
        <v>6783.26857640459</v>
      </c>
      <c r="O8" s="21">
        <f>O5</f>
        <v>35.956666666666671</v>
      </c>
      <c r="P8" s="21">
        <f>P5</f>
        <v>0</v>
      </c>
    </row>
    <row r="9" spans="1:16">
      <c r="B9" s="19"/>
      <c r="C9" s="19"/>
      <c r="D9" s="260"/>
      <c r="E9" s="19"/>
      <c r="F9" s="19"/>
      <c r="G9" s="19"/>
      <c r="H9" s="19"/>
      <c r="I9" s="19"/>
      <c r="J9" s="19"/>
      <c r="K9" s="19"/>
      <c r="L9" s="19"/>
      <c r="M9" s="19"/>
      <c r="N9" s="19"/>
      <c r="O9" s="19"/>
      <c r="P9" s="19"/>
    </row>
    <row r="10" spans="1:16">
      <c r="A10" s="24" t="s">
        <v>215</v>
      </c>
      <c r="B10" s="25">
        <f ca="1">'EF ele_warmte'!B12</f>
        <v>0.20547206368825002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2429.9291461410321</v>
      </c>
      <c r="C12" s="23">
        <f ca="1">C10*C8</f>
        <v>0</v>
      </c>
      <c r="D12" s="23">
        <f>D8*D10</f>
        <v>4941.2824712240008</v>
      </c>
      <c r="E12" s="23">
        <f>E10*E8</f>
        <v>255.85955143118437</v>
      </c>
      <c r="F12" s="23">
        <f>F10*F8</f>
        <v>914.4419721714238</v>
      </c>
      <c r="G12" s="23"/>
      <c r="H12" s="23"/>
      <c r="I12" s="23"/>
      <c r="J12" s="23">
        <f>J10*J8</f>
        <v>261.99541685906416</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1043</v>
      </c>
      <c r="C18" s="167" t="s">
        <v>111</v>
      </c>
      <c r="D18" s="229"/>
      <c r="E18" s="15"/>
    </row>
    <row r="19" spans="1:7">
      <c r="A19" s="172" t="s">
        <v>72</v>
      </c>
      <c r="B19" s="37">
        <f>aantalw2001_ander</f>
        <v>0</v>
      </c>
      <c r="C19" s="167" t="s">
        <v>111</v>
      </c>
      <c r="D19" s="230"/>
      <c r="E19" s="15"/>
    </row>
    <row r="20" spans="1:7">
      <c r="A20" s="172" t="s">
        <v>73</v>
      </c>
      <c r="B20" s="37">
        <f>aantalw2001_propaan</f>
        <v>25</v>
      </c>
      <c r="C20" s="168">
        <f>IF(ISERROR(B20/SUM($B$20,$B$21,$B$22)*100),0,B20/SUM($B$20,$B$21,$B$22)*100)</f>
        <v>10.204081632653061</v>
      </c>
      <c r="D20" s="230"/>
      <c r="E20" s="15"/>
    </row>
    <row r="21" spans="1:7">
      <c r="A21" s="172" t="s">
        <v>74</v>
      </c>
      <c r="B21" s="37">
        <f>aantalw2001_elektriciteit</f>
        <v>168</v>
      </c>
      <c r="C21" s="168">
        <f>IF(ISERROR(B21/SUM($B$20,$B$21,$B$22)*100),0,B21/SUM($B$20,$B$21,$B$22)*100)</f>
        <v>68.571428571428569</v>
      </c>
      <c r="D21" s="230"/>
      <c r="E21" s="15"/>
    </row>
    <row r="22" spans="1:7">
      <c r="A22" s="172" t="s">
        <v>75</v>
      </c>
      <c r="B22" s="37">
        <f>aantalw2001_hout</f>
        <v>52</v>
      </c>
      <c r="C22" s="168">
        <f>IF(ISERROR(B22/SUM($B$20,$B$21,$B$22)*100),0,B22/SUM($B$20,$B$21,$B$22)*100)</f>
        <v>21.224489795918366</v>
      </c>
      <c r="D22" s="230"/>
      <c r="E22" s="15"/>
    </row>
    <row r="23" spans="1:7">
      <c r="A23" s="172" t="s">
        <v>76</v>
      </c>
      <c r="B23" s="37">
        <f>aantalw2001_niet_gespec</f>
        <v>35</v>
      </c>
      <c r="C23" s="167" t="s">
        <v>111</v>
      </c>
      <c r="D23" s="229"/>
      <c r="E23" s="15"/>
    </row>
    <row r="24" spans="1:7">
      <c r="A24" s="172" t="s">
        <v>77</v>
      </c>
      <c r="B24" s="37">
        <f>aantalw2001_steenkool</f>
        <v>81</v>
      </c>
      <c r="C24" s="167" t="s">
        <v>111</v>
      </c>
      <c r="D24" s="230"/>
      <c r="E24" s="15"/>
    </row>
    <row r="25" spans="1:7">
      <c r="A25" s="172" t="s">
        <v>78</v>
      </c>
      <c r="B25" s="37">
        <f>aantalw2001_stookolie</f>
        <v>647</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2308</v>
      </c>
      <c r="C28" s="36"/>
      <c r="D28" s="229"/>
    </row>
    <row r="29" spans="1:7" s="15" customFormat="1">
      <c r="A29" s="231" t="s">
        <v>714</v>
      </c>
      <c r="B29" s="37">
        <f>SUM(HH_hh_gas_aantal,HH_rest_gas_aantal)</f>
        <v>1595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1595</v>
      </c>
      <c r="C32" s="168">
        <f>IF(ISERROR(B32/SUM($B$32,$B$34,$B$35,$B$36,$B$38,$B$39)*100),0,B32/SUM($B$32,$B$34,$B$35,$B$36,$B$38,$B$39)*100)</f>
        <v>69.107452339688052</v>
      </c>
      <c r="D32" s="234"/>
      <c r="G32" s="15"/>
    </row>
    <row r="33" spans="1:7">
      <c r="A33" s="172" t="s">
        <v>72</v>
      </c>
      <c r="B33" s="34" t="s">
        <v>111</v>
      </c>
      <c r="C33" s="168"/>
      <c r="D33" s="234"/>
      <c r="G33" s="15"/>
    </row>
    <row r="34" spans="1:7">
      <c r="A34" s="172" t="s">
        <v>73</v>
      </c>
      <c r="B34" s="33">
        <f>IF((($B$28-$B$32-$B$39-$B$77-$B$38)*C20/100)&lt;0,0,($B$28-$B$32-$B$39-$B$77-$B$38)*C20/100)</f>
        <v>54.795918367346943</v>
      </c>
      <c r="C34" s="168">
        <f>IF(ISERROR(B34/SUM($B$32,$B$34,$B$35,$B$36,$B$38,$B$39)*100),0,B34/SUM($B$32,$B$34,$B$35,$B$36,$B$38,$B$39)*100)</f>
        <v>2.3741732394864363</v>
      </c>
      <c r="D34" s="234"/>
      <c r="G34" s="15"/>
    </row>
    <row r="35" spans="1:7">
      <c r="A35" s="172" t="s">
        <v>74</v>
      </c>
      <c r="B35" s="33">
        <f>IF((($B$28-$B$32-$B$39-$B$77-$B$38)*C21/100)&lt;0,0,($B$28-$B$32-$B$39-$B$77-$B$38)*C21/100)</f>
        <v>368.22857142857146</v>
      </c>
      <c r="C35" s="168">
        <f>IF(ISERROR(B35/SUM($B$32,$B$34,$B$35,$B$36,$B$38,$B$39)*100),0,B35/SUM($B$32,$B$34,$B$35,$B$36,$B$38,$B$39)*100)</f>
        <v>15.95444416934885</v>
      </c>
      <c r="D35" s="234"/>
      <c r="G35" s="15"/>
    </row>
    <row r="36" spans="1:7">
      <c r="A36" s="172" t="s">
        <v>75</v>
      </c>
      <c r="B36" s="33">
        <f>IF((($B$28-$B$32-$B$39-$B$77-$B$38)*C22/100)&lt;0,0,($B$28-$B$32-$B$39-$B$77-$B$38)*C22/100)</f>
        <v>113.97551020408162</v>
      </c>
      <c r="C36" s="168">
        <f>IF(ISERROR(B36/SUM($B$32,$B$34,$B$35,$B$36,$B$38,$B$39)*100),0,B36/SUM($B$32,$B$34,$B$35,$B$36,$B$38,$B$39)*100)</f>
        <v>4.9382803381317855</v>
      </c>
      <c r="D36" s="234"/>
      <c r="G36" s="15"/>
    </row>
    <row r="37" spans="1:7">
      <c r="A37" s="172" t="s">
        <v>76</v>
      </c>
      <c r="B37" s="34" t="s">
        <v>111</v>
      </c>
      <c r="C37" s="168"/>
      <c r="D37" s="174"/>
      <c r="G37" s="15"/>
    </row>
    <row r="38" spans="1:7">
      <c r="A38" s="172" t="s">
        <v>77</v>
      </c>
      <c r="B38" s="33">
        <f>IF((B24-(B29-B18)*0.1)&lt;0,0,B24-(B29-B18)*0.1)</f>
        <v>25.799999999999997</v>
      </c>
      <c r="C38" s="168">
        <f>IF(ISERROR(B38/SUM($B$32,$B$34,$B$35,$B$36,$B$38,$B$39)*100),0,B38/SUM($B$32,$B$34,$B$35,$B$36,$B$38,$B$39)*100)</f>
        <v>1.1178509532062391</v>
      </c>
      <c r="D38" s="235"/>
      <c r="G38" s="15"/>
    </row>
    <row r="39" spans="1:7">
      <c r="A39" s="172" t="s">
        <v>78</v>
      </c>
      <c r="B39" s="33">
        <f>IF((B25-(B29-B18))&lt;0,0,B25-(B29-B18)*0.9)</f>
        <v>150.19999999999999</v>
      </c>
      <c r="C39" s="168">
        <f>IF(ISERROR(B39/SUM($B$32,$B$34,$B$35,$B$36,$B$38,$B$39)*100),0,B39/SUM($B$32,$B$34,$B$35,$B$36,$B$38,$B$39)*100)</f>
        <v>6.507798960138647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1595</v>
      </c>
      <c r="C44" s="34" t="s">
        <v>111</v>
      </c>
      <c r="D44" s="175"/>
    </row>
    <row r="45" spans="1:7">
      <c r="A45" s="172" t="s">
        <v>72</v>
      </c>
      <c r="B45" s="33" t="str">
        <f t="shared" si="0"/>
        <v>-</v>
      </c>
      <c r="C45" s="34" t="s">
        <v>111</v>
      </c>
      <c r="D45" s="175"/>
    </row>
    <row r="46" spans="1:7">
      <c r="A46" s="172" t="s">
        <v>73</v>
      </c>
      <c r="B46" s="33">
        <f t="shared" si="0"/>
        <v>54.795918367346943</v>
      </c>
      <c r="C46" s="34" t="s">
        <v>111</v>
      </c>
      <c r="D46" s="175"/>
    </row>
    <row r="47" spans="1:7">
      <c r="A47" s="172" t="s">
        <v>74</v>
      </c>
      <c r="B47" s="33">
        <f t="shared" si="0"/>
        <v>368.22857142857146</v>
      </c>
      <c r="C47" s="34" t="s">
        <v>111</v>
      </c>
      <c r="D47" s="175"/>
    </row>
    <row r="48" spans="1:7">
      <c r="A48" s="172" t="s">
        <v>75</v>
      </c>
      <c r="B48" s="33">
        <f t="shared" si="0"/>
        <v>113.97551020408162</v>
      </c>
      <c r="C48" s="33">
        <f>B48*10</f>
        <v>1139.7551020408162</v>
      </c>
      <c r="D48" s="235"/>
    </row>
    <row r="49" spans="1:6">
      <c r="A49" s="172" t="s">
        <v>76</v>
      </c>
      <c r="B49" s="33" t="str">
        <f t="shared" si="0"/>
        <v>-</v>
      </c>
      <c r="C49" s="34" t="s">
        <v>111</v>
      </c>
      <c r="D49" s="235"/>
    </row>
    <row r="50" spans="1:6">
      <c r="A50" s="172" t="s">
        <v>77</v>
      </c>
      <c r="B50" s="33">
        <f t="shared" si="0"/>
        <v>25.799999999999997</v>
      </c>
      <c r="C50" s="33">
        <f>B50*2</f>
        <v>51.599999999999994</v>
      </c>
      <c r="D50" s="235"/>
    </row>
    <row r="51" spans="1:6">
      <c r="A51" s="172" t="s">
        <v>78</v>
      </c>
      <c r="B51" s="33">
        <f t="shared" si="0"/>
        <v>150.19999999999999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4120.0099999999993</v>
      </c>
      <c r="C5" s="17">
        <f>IF(ISERROR('Eigen informatie GS &amp; warmtenet'!B58),0,'Eigen informatie GS &amp; warmtenet'!B58)</f>
        <v>0</v>
      </c>
      <c r="D5" s="30">
        <f>SUM(D6:D12)</f>
        <v>3794.1511520000004</v>
      </c>
      <c r="E5" s="17">
        <f>SUM(E6:E12)</f>
        <v>43.931401788203694</v>
      </c>
      <c r="F5" s="17">
        <f>SUM(F6:F12)</f>
        <v>810.37470750828163</v>
      </c>
      <c r="G5" s="18"/>
      <c r="H5" s="17"/>
      <c r="I5" s="17"/>
      <c r="J5" s="17">
        <f>SUM(J6:J12)</f>
        <v>0</v>
      </c>
      <c r="K5" s="17"/>
      <c r="L5" s="17"/>
      <c r="M5" s="17"/>
      <c r="N5" s="17">
        <f>SUM(N6:N12)</f>
        <v>164.54068136376776</v>
      </c>
      <c r="O5" s="17">
        <f>B38*B39*B40</f>
        <v>1.5633333333333335</v>
      </c>
      <c r="P5" s="17">
        <f>B46*B47*B48/1000-B46*B47*B48/1000/B49</f>
        <v>19.066666666666666</v>
      </c>
      <c r="R5" s="32"/>
    </row>
    <row r="6" spans="1:18">
      <c r="A6" s="32" t="s">
        <v>54</v>
      </c>
      <c r="B6" s="37">
        <f>B26</f>
        <v>611.16</v>
      </c>
      <c r="C6" s="33"/>
      <c r="D6" s="37">
        <f>IF(ISERROR(TER_kantoor_gas_kWh/1000),0,TER_kantoor_gas_kWh/1000)*0.902</f>
        <v>609.61309200000005</v>
      </c>
      <c r="E6" s="33">
        <f>$C$26*'E Balans VL '!I12/100/3.6*1000000</f>
        <v>21.393004148593594</v>
      </c>
      <c r="F6" s="33">
        <f>$C$26*('E Balans VL '!L12+'E Balans VL '!N12)/100/3.6*1000000</f>
        <v>92.664977476621303</v>
      </c>
      <c r="G6" s="34"/>
      <c r="H6" s="33"/>
      <c r="I6" s="33"/>
      <c r="J6" s="33">
        <f>$C$26*('E Balans VL '!D12+'E Balans VL '!E12)/100/3.6*1000000</f>
        <v>0</v>
      </c>
      <c r="K6" s="33"/>
      <c r="L6" s="33"/>
      <c r="M6" s="33"/>
      <c r="N6" s="33">
        <f>$C$26*'E Balans VL '!Y12/100/3.6*1000000</f>
        <v>4.7240755121844771</v>
      </c>
      <c r="O6" s="33"/>
      <c r="P6" s="33"/>
      <c r="R6" s="32"/>
    </row>
    <row r="7" spans="1:18">
      <c r="A7" s="32" t="s">
        <v>53</v>
      </c>
      <c r="B7" s="37">
        <f t="shared" ref="B7:B12" si="0">B27</f>
        <v>114.288</v>
      </c>
      <c r="C7" s="33"/>
      <c r="D7" s="37">
        <f>IF(ISERROR(TER_horeca_gas_kWh/1000),0,TER_horeca_gas_kWh/1000)*0.902</f>
        <v>177.15460400000001</v>
      </c>
      <c r="E7" s="33">
        <f>$C$27*'E Balans VL '!I9/100/3.6*1000000</f>
        <v>6.4473628603000073</v>
      </c>
      <c r="F7" s="33">
        <f>$C$27*('E Balans VL '!L9+'E Balans VL '!N9)/100/3.6*1000000</f>
        <v>19.909602077912634</v>
      </c>
      <c r="G7" s="34"/>
      <c r="H7" s="33"/>
      <c r="I7" s="33"/>
      <c r="J7" s="33">
        <f>$C$27*('E Balans VL '!D9+'E Balans VL '!E9)/100/3.6*1000000</f>
        <v>0</v>
      </c>
      <c r="K7" s="33"/>
      <c r="L7" s="33"/>
      <c r="M7" s="33"/>
      <c r="N7" s="33">
        <f>$C$27*'E Balans VL '!Y9/100/3.6*1000000</f>
        <v>0</v>
      </c>
      <c r="O7" s="33"/>
      <c r="P7" s="33"/>
      <c r="R7" s="32"/>
    </row>
    <row r="8" spans="1:18">
      <c r="A8" s="6" t="s">
        <v>52</v>
      </c>
      <c r="B8" s="37">
        <f t="shared" si="0"/>
        <v>2288.6849999999999</v>
      </c>
      <c r="C8" s="33"/>
      <c r="D8" s="37">
        <f>IF(ISERROR(TER_handel_gas_kWh/1000),0,TER_handel_gas_kWh/1000)*0.902</f>
        <v>1451.5615399999999</v>
      </c>
      <c r="E8" s="33">
        <f>$C$28*'E Balans VL '!I13/100/3.6*1000000</f>
        <v>11.749876262976427</v>
      </c>
      <c r="F8" s="33">
        <f>$C$28*('E Balans VL '!L13+'E Balans VL '!N13)/100/3.6*1000000</f>
        <v>352.87986318649604</v>
      </c>
      <c r="G8" s="34"/>
      <c r="H8" s="33"/>
      <c r="I8" s="33"/>
      <c r="J8" s="33">
        <f>$C$28*('E Balans VL '!D13+'E Balans VL '!E13)/100/3.6*1000000</f>
        <v>0</v>
      </c>
      <c r="K8" s="33"/>
      <c r="L8" s="33"/>
      <c r="M8" s="33"/>
      <c r="N8" s="33">
        <f>$C$28*'E Balans VL '!Y13/100/3.6*1000000</f>
        <v>1.0704459116608716</v>
      </c>
      <c r="O8" s="33"/>
      <c r="P8" s="33"/>
      <c r="R8" s="32"/>
    </row>
    <row r="9" spans="1:18">
      <c r="A9" s="32" t="s">
        <v>51</v>
      </c>
      <c r="B9" s="37">
        <f t="shared" si="0"/>
        <v>304.79599999999999</v>
      </c>
      <c r="C9" s="33"/>
      <c r="D9" s="37">
        <f>IF(ISERROR(TER_gezond_gas_kWh/1000),0,TER_gezond_gas_kWh/1000)*0.902</f>
        <v>0</v>
      </c>
      <c r="E9" s="33">
        <f>$C$29*'E Balans VL '!I10/100/3.6*1000000</f>
        <v>0.12633577132068469</v>
      </c>
      <c r="F9" s="33">
        <f>$C$29*('E Balans VL '!L10+'E Balans VL '!N10)/100/3.6*1000000</f>
        <v>75.066883442253541</v>
      </c>
      <c r="G9" s="34"/>
      <c r="H9" s="33"/>
      <c r="I9" s="33"/>
      <c r="J9" s="33">
        <f>$C$29*('E Balans VL '!D10+'E Balans VL '!E10)/100/3.6*1000000</f>
        <v>0</v>
      </c>
      <c r="K9" s="33"/>
      <c r="L9" s="33"/>
      <c r="M9" s="33"/>
      <c r="N9" s="33">
        <f>$C$29*'E Balans VL '!Y10/100/3.6*1000000</f>
        <v>2.6341918482354192</v>
      </c>
      <c r="O9" s="33"/>
      <c r="P9" s="33"/>
      <c r="R9" s="32"/>
    </row>
    <row r="10" spans="1:18">
      <c r="A10" s="32" t="s">
        <v>50</v>
      </c>
      <c r="B10" s="37">
        <f t="shared" si="0"/>
        <v>675.73599999999999</v>
      </c>
      <c r="C10" s="33"/>
      <c r="D10" s="37">
        <f>IF(ISERROR(TER_ander_gas_kWh/1000),0,TER_ander_gas_kWh/1000)*0.902</f>
        <v>430.30631599999998</v>
      </c>
      <c r="E10" s="33">
        <f>$C$30*'E Balans VL '!I14/100/3.6*1000000</f>
        <v>4.1193033282298854</v>
      </c>
      <c r="F10" s="33">
        <f>$C$30*('E Balans VL '!L14+'E Balans VL '!N14)/100/3.6*1000000</f>
        <v>179.14687013318584</v>
      </c>
      <c r="G10" s="34"/>
      <c r="H10" s="33"/>
      <c r="I10" s="33"/>
      <c r="J10" s="33">
        <f>$C$30*('E Balans VL '!D14+'E Balans VL '!E14)/100/3.6*1000000</f>
        <v>0</v>
      </c>
      <c r="K10" s="33"/>
      <c r="L10" s="33"/>
      <c r="M10" s="33"/>
      <c r="N10" s="33">
        <f>$C$30*'E Balans VL '!Y14/100/3.6*1000000</f>
        <v>155.74254641977788</v>
      </c>
      <c r="O10" s="33"/>
      <c r="P10" s="33"/>
      <c r="R10" s="32"/>
    </row>
    <row r="11" spans="1:18">
      <c r="A11" s="32" t="s">
        <v>55</v>
      </c>
      <c r="B11" s="37">
        <f t="shared" si="0"/>
        <v>125.345</v>
      </c>
      <c r="C11" s="33"/>
      <c r="D11" s="37">
        <f>IF(ISERROR(TER_onderwijs_gas_kWh/1000),0,TER_onderwijs_gas_kWh/1000)*0.902</f>
        <v>0</v>
      </c>
      <c r="E11" s="33">
        <f>$C$31*'E Balans VL '!I11/100/3.6*1000000</f>
        <v>9.5519416783101135E-2</v>
      </c>
      <c r="F11" s="33">
        <f>$C$31*('E Balans VL '!L11+'E Balans VL '!N11)/100/3.6*1000000</f>
        <v>90.706511191812154</v>
      </c>
      <c r="G11" s="34"/>
      <c r="H11" s="33"/>
      <c r="I11" s="33"/>
      <c r="J11" s="33">
        <f>$C$31*('E Balans VL '!D11+'E Balans VL '!E11)/100/3.6*1000000</f>
        <v>0</v>
      </c>
      <c r="K11" s="33"/>
      <c r="L11" s="33"/>
      <c r="M11" s="33"/>
      <c r="N11" s="33">
        <f>$C$31*'E Balans VL '!Y11/100/3.6*1000000</f>
        <v>0.36942167190912623</v>
      </c>
      <c r="O11" s="33"/>
      <c r="P11" s="33"/>
      <c r="R11" s="32"/>
    </row>
    <row r="12" spans="1:18">
      <c r="A12" s="32" t="s">
        <v>261</v>
      </c>
      <c r="B12" s="37">
        <f t="shared" si="0"/>
        <v>0</v>
      </c>
      <c r="C12" s="33"/>
      <c r="D12" s="37">
        <f>IF(ISERROR(TER_rest_gas_kWh/1000),0,TER_rest_gas_kWh/1000)*0.902</f>
        <v>1125.5155999999999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1494</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-4268.5714285714284</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5614.0099999999993</v>
      </c>
      <c r="C16" s="21">
        <f ca="1">C5+C13+C14</f>
        <v>0</v>
      </c>
      <c r="D16" s="21">
        <f t="shared" ref="D16:N16" ca="1" si="1">MAX((D5+D13+D14),0)</f>
        <v>3794.1511520000004</v>
      </c>
      <c r="E16" s="21">
        <f t="shared" si="1"/>
        <v>43.931401788203694</v>
      </c>
      <c r="F16" s="21">
        <f t="shared" ca="1" si="1"/>
        <v>810.37470750828163</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0.20547206368825002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1153.5222202664725</v>
      </c>
      <c r="C20" s="23">
        <f t="shared" ref="C20:P20" ca="1" si="2">C16*C18</f>
        <v>0</v>
      </c>
      <c r="D20" s="23">
        <f t="shared" ca="1" si="2"/>
        <v>766.41853270400009</v>
      </c>
      <c r="E20" s="23">
        <f t="shared" si="2"/>
        <v>9.9724282059222382</v>
      </c>
      <c r="F20" s="23">
        <f t="shared" ca="1" si="2"/>
        <v>216.37004690471122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611.16</v>
      </c>
      <c r="C26" s="39">
        <f>IF(ISERROR(B26*3.6/1000000/'E Balans VL '!Z12*100),0,B26*3.6/1000000/'E Balans VL '!Z12*100)</f>
        <v>1.2860848667431044E-2</v>
      </c>
      <c r="D26" s="238" t="s">
        <v>720</v>
      </c>
      <c r="F26" s="6"/>
    </row>
    <row r="27" spans="1:18">
      <c r="A27" s="232" t="s">
        <v>53</v>
      </c>
      <c r="B27" s="33">
        <f>IF(ISERROR(TER_horeca_ele_kWh/1000),0,TER_horeca_ele_kWh/1000)</f>
        <v>114.288</v>
      </c>
      <c r="C27" s="39">
        <f>IF(ISERROR(B27*3.6/1000000/'E Balans VL '!Z9*100),0,B27*3.6/1000000/'E Balans VL '!Z9*100)</f>
        <v>9.6764438136940165E-3</v>
      </c>
      <c r="D27" s="238" t="s">
        <v>720</v>
      </c>
      <c r="F27" s="6"/>
    </row>
    <row r="28" spans="1:18">
      <c r="A28" s="172" t="s">
        <v>52</v>
      </c>
      <c r="B28" s="33">
        <f>IF(ISERROR(TER_handel_ele_kWh/1000),0,TER_handel_ele_kWh/1000)</f>
        <v>2288.6849999999999</v>
      </c>
      <c r="C28" s="39">
        <f>IF(ISERROR(B28*3.6/1000000/'E Balans VL '!Z13*100),0,B28*3.6/1000000/'E Balans VL '!Z13*100)</f>
        <v>6.3361927747822275E-2</v>
      </c>
      <c r="D28" s="238" t="s">
        <v>720</v>
      </c>
      <c r="F28" s="6"/>
    </row>
    <row r="29" spans="1:18">
      <c r="A29" s="232" t="s">
        <v>51</v>
      </c>
      <c r="B29" s="33">
        <f>IF(ISERROR(TER_gezond_ele_kWh/1000),0,TER_gezond_ele_kWh/1000)</f>
        <v>304.79599999999999</v>
      </c>
      <c r="C29" s="39">
        <f>IF(ISERROR(B29*3.6/1000000/'E Balans VL '!Z10*100),0,B29*3.6/1000000/'E Balans VL '!Z10*100)</f>
        <v>3.962010094237662E-2</v>
      </c>
      <c r="D29" s="238" t="s">
        <v>720</v>
      </c>
      <c r="F29" s="6"/>
    </row>
    <row r="30" spans="1:18">
      <c r="A30" s="232" t="s">
        <v>50</v>
      </c>
      <c r="B30" s="33">
        <f>IF(ISERROR(TER_ander_ele_kWh/1000),0,TER_ander_ele_kWh/1000)</f>
        <v>675.73599999999999</v>
      </c>
      <c r="C30" s="39">
        <f>IF(ISERROR(B30*3.6/1000000/'E Balans VL '!Z14*100),0,B30*3.6/1000000/'E Balans VL '!Z14*100)</f>
        <v>5.2375736972513041E-2</v>
      </c>
      <c r="D30" s="238" t="s">
        <v>720</v>
      </c>
      <c r="F30" s="6"/>
    </row>
    <row r="31" spans="1:18">
      <c r="A31" s="232" t="s">
        <v>55</v>
      </c>
      <c r="B31" s="33">
        <f>IF(ISERROR(TER_onderwijs_ele_kWh/1000),0,TER_onderwijs_ele_kWh/1000)</f>
        <v>125.345</v>
      </c>
      <c r="C31" s="39">
        <f>IF(ISERROR(B31*3.6/1000000/'E Balans VL '!Z11*100),0,B31*3.6/1000000/'E Balans VL '!Z11*100)</f>
        <v>2.3980634333601186E-2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14223.402</v>
      </c>
      <c r="C5" s="17">
        <f>IF(ISERROR('Eigen informatie GS &amp; warmtenet'!B59),0,'Eigen informatie GS &amp; warmtenet'!B59)</f>
        <v>0</v>
      </c>
      <c r="D5" s="30">
        <f>SUM(D6:D15)</f>
        <v>14863.416678000001</v>
      </c>
      <c r="E5" s="17">
        <f>SUM(E6:E15)</f>
        <v>134.10795316938948</v>
      </c>
      <c r="F5" s="17">
        <f>SUM(F6:F15)</f>
        <v>2734.169620968315</v>
      </c>
      <c r="G5" s="18"/>
      <c r="H5" s="17"/>
      <c r="I5" s="17"/>
      <c r="J5" s="17">
        <f>SUM(J6:J15)</f>
        <v>61.36164727650003</v>
      </c>
      <c r="K5" s="17"/>
      <c r="L5" s="17"/>
      <c r="M5" s="17"/>
      <c r="N5" s="17">
        <f>SUM(N6:N15)</f>
        <v>248.59967783503114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371.02199999999999</v>
      </c>
      <c r="C8" s="33"/>
      <c r="D8" s="37">
        <f>IF( ISERROR(IND_metaal_Gas_kWH/1000),0,IND_metaal_Gas_kWH/1000)*0.902</f>
        <v>164.509466</v>
      </c>
      <c r="E8" s="33">
        <f>C30*'E Balans VL '!I18/100/3.6*1000000</f>
        <v>2.6070897317089941</v>
      </c>
      <c r="F8" s="33">
        <f>C30*'E Balans VL '!L18/100/3.6*1000000+C30*'E Balans VL '!N18/100/3.6*1000000</f>
        <v>40.736044907641919</v>
      </c>
      <c r="G8" s="34"/>
      <c r="H8" s="33"/>
      <c r="I8" s="33"/>
      <c r="J8" s="40">
        <f>C30*'E Balans VL '!D18/100/3.6*1000000+C30*'E Balans VL '!E18/100/3.6*1000000</f>
        <v>7.6549835577661822</v>
      </c>
      <c r="K8" s="33"/>
      <c r="L8" s="33"/>
      <c r="M8" s="33"/>
      <c r="N8" s="33">
        <f>C30*'E Balans VL '!Y18/100/3.6*1000000</f>
        <v>1.3906171769757785</v>
      </c>
      <c r="O8" s="33"/>
      <c r="P8" s="33"/>
      <c r="R8" s="32"/>
    </row>
    <row r="9" spans="1:18">
      <c r="A9" s="6" t="s">
        <v>33</v>
      </c>
      <c r="B9" s="37">
        <f t="shared" si="0"/>
        <v>759.15800000000002</v>
      </c>
      <c r="C9" s="33"/>
      <c r="D9" s="37">
        <f>IF( ISERROR(IND_andere_gas_kWh/1000),0,IND_andere_gas_kWh/1000)*0.902</f>
        <v>570.46268399999997</v>
      </c>
      <c r="E9" s="33">
        <f>C31*'E Balans VL '!I19/100/3.6*1000000</f>
        <v>12.750988608243192</v>
      </c>
      <c r="F9" s="33">
        <f>C31*'E Balans VL '!L19/100/3.6*1000000+C31*'E Balans VL '!N19/100/3.6*1000000</f>
        <v>593.46648598882746</v>
      </c>
      <c r="G9" s="34"/>
      <c r="H9" s="33"/>
      <c r="I9" s="33"/>
      <c r="J9" s="40">
        <f>C31*'E Balans VL '!D19/100/3.6*1000000+C31*'E Balans VL '!E19/100/3.6*1000000</f>
        <v>6.8469350220123681E-2</v>
      </c>
      <c r="K9" s="33"/>
      <c r="L9" s="33"/>
      <c r="M9" s="33"/>
      <c r="N9" s="33">
        <f>C31*'E Balans VL '!Y19/100/3.6*1000000</f>
        <v>56.265787417849729</v>
      </c>
      <c r="O9" s="33"/>
      <c r="P9" s="33"/>
      <c r="R9" s="32"/>
    </row>
    <row r="10" spans="1:18">
      <c r="A10" s="6" t="s">
        <v>41</v>
      </c>
      <c r="B10" s="37">
        <f t="shared" si="0"/>
        <v>12939.224</v>
      </c>
      <c r="C10" s="33"/>
      <c r="D10" s="37">
        <f>IF( ISERROR(IND_voed_gas_kWh/1000),0,IND_voed_gas_kWh/1000)*0.902</f>
        <v>13937.977306000001</v>
      </c>
      <c r="E10" s="33">
        <f>C32*'E Balans VL '!I20/100/3.6*1000000</f>
        <v>118.05210288172533</v>
      </c>
      <c r="F10" s="33">
        <f>C32*'E Balans VL '!L20/100/3.6*1000000+C32*'E Balans VL '!N20/100/3.6*1000000</f>
        <v>2087.5015464419598</v>
      </c>
      <c r="G10" s="34"/>
      <c r="H10" s="33"/>
      <c r="I10" s="33"/>
      <c r="J10" s="40">
        <f>C32*'E Balans VL '!D20/100/3.6*1000000+C32*'E Balans VL '!E20/100/3.6*1000000</f>
        <v>53.292207797892424</v>
      </c>
      <c r="K10" s="33"/>
      <c r="L10" s="33"/>
      <c r="M10" s="33"/>
      <c r="N10" s="33">
        <f>C32*'E Balans VL '!Y20/100/3.6*1000000</f>
        <v>189.29064425552176</v>
      </c>
      <c r="O10" s="33"/>
      <c r="P10" s="33"/>
      <c r="R10" s="32"/>
    </row>
    <row r="11" spans="1:18">
      <c r="A11" s="6" t="s">
        <v>40</v>
      </c>
      <c r="B11" s="37">
        <f t="shared" si="0"/>
        <v>102.614</v>
      </c>
      <c r="C11" s="33"/>
      <c r="D11" s="37">
        <f>IF( ISERROR(IND_textiel_gas_kWh/1000),0,IND_textiel_gas_kWh/1000)*0.902</f>
        <v>182.577428</v>
      </c>
      <c r="E11" s="33">
        <f>C33*'E Balans VL '!I21/100/3.6*1000000</f>
        <v>0.23404349991680673</v>
      </c>
      <c r="F11" s="33">
        <f>C33*'E Balans VL '!L21/100/3.6*1000000+C33*'E Balans VL '!N21/100/3.6*1000000</f>
        <v>2.1934694240562278</v>
      </c>
      <c r="G11" s="34"/>
      <c r="H11" s="33"/>
      <c r="I11" s="33"/>
      <c r="J11" s="40">
        <f>C33*'E Balans VL '!D21/100/3.6*1000000+C33*'E Balans VL '!E21/100/3.6*1000000</f>
        <v>0</v>
      </c>
      <c r="K11" s="33"/>
      <c r="L11" s="33"/>
      <c r="M11" s="33"/>
      <c r="N11" s="33">
        <f>C33*'E Balans VL '!Y21/100/3.6*1000000</f>
        <v>0.72792987239186413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51.384</v>
      </c>
      <c r="C15" s="33"/>
      <c r="D15" s="37">
        <f>IF( ISERROR(IND_rest_gas_kWh/1000),0,IND_rest_gas_kWh/1000)*0.902</f>
        <v>7.8897940000000002</v>
      </c>
      <c r="E15" s="33">
        <f>C37*'E Balans VL '!I15/100/3.6*1000000</f>
        <v>0.46372844779515221</v>
      </c>
      <c r="F15" s="33">
        <f>C37*'E Balans VL '!L15/100/3.6*1000000+C37*'E Balans VL '!N15/100/3.6*1000000</f>
        <v>10.272074205829474</v>
      </c>
      <c r="G15" s="34"/>
      <c r="H15" s="33"/>
      <c r="I15" s="33"/>
      <c r="J15" s="40">
        <f>C37*'E Balans VL '!D15/100/3.6*1000000+C37*'E Balans VL '!E15/100/3.6*1000000</f>
        <v>0.34598657062129912</v>
      </c>
      <c r="K15" s="33"/>
      <c r="L15" s="33"/>
      <c r="M15" s="33"/>
      <c r="N15" s="33">
        <f>C37*'E Balans VL '!Y15/100/3.6*1000000</f>
        <v>0.92469911229203117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14223.402</v>
      </c>
      <c r="C18" s="21">
        <f>C5+C16</f>
        <v>0</v>
      </c>
      <c r="D18" s="21">
        <f>MAX((D5+D16),0)</f>
        <v>14863.416678000001</v>
      </c>
      <c r="E18" s="21">
        <f>MAX((E5+E16),0)</f>
        <v>134.10795316938948</v>
      </c>
      <c r="F18" s="21">
        <f>MAX((F5+F16),0)</f>
        <v>2734.169620968315</v>
      </c>
      <c r="G18" s="21"/>
      <c r="H18" s="21"/>
      <c r="I18" s="21"/>
      <c r="J18" s="21">
        <f>MAX((J5+J16),0)</f>
        <v>61.36164727650003</v>
      </c>
      <c r="K18" s="21"/>
      <c r="L18" s="21">
        <f>MAX((L5+L16),0)</f>
        <v>0</v>
      </c>
      <c r="M18" s="21"/>
      <c r="N18" s="21">
        <f>MAX((N5+N16),0)</f>
        <v>248.59967783503114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0.20547206368825002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2922.5117616075827</v>
      </c>
      <c r="C22" s="23">
        <f ca="1">C18*C20</f>
        <v>0</v>
      </c>
      <c r="D22" s="23">
        <f>D18*D20</f>
        <v>3002.4101689560007</v>
      </c>
      <c r="E22" s="23">
        <f>E18*E20</f>
        <v>30.442505369451411</v>
      </c>
      <c r="F22" s="23">
        <f>F18*F20</f>
        <v>730.02328879854019</v>
      </c>
      <c r="G22" s="23"/>
      <c r="H22" s="23"/>
      <c r="I22" s="23"/>
      <c r="J22" s="23">
        <f>J18*J20</f>
        <v>21.72202313588101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371.02199999999999</v>
      </c>
      <c r="C30" s="39">
        <f>IF(ISERROR(B30*3.6/1000000/'E Balans VL '!Z18*100),0,B30*3.6/1000000/'E Balans VL '!Z18*100)</f>
        <v>2.4699161105018946E-2</v>
      </c>
      <c r="D30" s="238" t="s">
        <v>720</v>
      </c>
    </row>
    <row r="31" spans="1:18">
      <c r="A31" s="6" t="s">
        <v>33</v>
      </c>
      <c r="B31" s="37">
        <f>IF( ISERROR(IND_ander_ele_kWh/1000),0,IND_ander_ele_kWh/1000)</f>
        <v>759.15800000000002</v>
      </c>
      <c r="C31" s="39">
        <f>IF(ISERROR(B31*3.6/1000000/'E Balans VL '!Z19*100),0,B31*3.6/1000000/'E Balans VL '!Z19*100)</f>
        <v>3.3650465637193892E-2</v>
      </c>
      <c r="D31" s="238" t="s">
        <v>720</v>
      </c>
    </row>
    <row r="32" spans="1:18">
      <c r="A32" s="172" t="s">
        <v>41</v>
      </c>
      <c r="B32" s="37">
        <f>IF( ISERROR(IND_voed_ele_kWh/1000),0,IND_voed_ele_kWh/1000)</f>
        <v>12939.224</v>
      </c>
      <c r="C32" s="39">
        <f>IF(ISERROR(B32*3.6/1000000/'E Balans VL '!Z20*100),0,B32*3.6/1000000/'E Balans VL '!Z20*100)</f>
        <v>0.43220719942967006</v>
      </c>
      <c r="D32" s="238" t="s">
        <v>720</v>
      </c>
    </row>
    <row r="33" spans="1:5">
      <c r="A33" s="172" t="s">
        <v>40</v>
      </c>
      <c r="B33" s="37">
        <f>IF( ISERROR(IND_textiel_ele_kWh/1000),0,IND_textiel_ele_kWh/1000)</f>
        <v>102.614</v>
      </c>
      <c r="C33" s="39">
        <f>IF(ISERROR(B33*3.6/1000000/'E Balans VL '!Z21*100),0,B33*3.6/1000000/'E Balans VL '!Z21*100)</f>
        <v>1.3509369731986345E-2</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51.384</v>
      </c>
      <c r="C37" s="39">
        <f>IF(ISERROR(B37*3.6/1000000/'E Balans VL '!Z15*100),0,B37*3.6/1000000/'E Balans VL '!Z15*100)</f>
        <v>3.822132483033648E-4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1202.4929999999999</v>
      </c>
      <c r="C5" s="17">
        <f>'Eigen informatie GS &amp; warmtenet'!B60</f>
        <v>0</v>
      </c>
      <c r="D5" s="30">
        <f>IF(ISERROR(SUM(LB_lb_gas_kWh,LB_rest_gas_kWh,onbekend_gas_kWh)/1000),0,SUM(LB_lb_gas_kWh,LB_rest_gas_kWh,onbekend_gas_kWh)/1000)*0.902</f>
        <v>252.67725999999999</v>
      </c>
      <c r="E5" s="17">
        <f>B17*'E Balans VL '!I25/3.6*1000000/100</f>
        <v>12.592767025118338</v>
      </c>
      <c r="F5" s="17">
        <f>B17*('E Balans VL '!L25/3.6*1000000+'E Balans VL '!N25/3.6*1000000)/100</f>
        <v>6176.1955140671016</v>
      </c>
      <c r="G5" s="18"/>
      <c r="H5" s="17"/>
      <c r="I5" s="17"/>
      <c r="J5" s="17">
        <f>('E Balans VL '!D25+'E Balans VL '!E25)/3.6*1000000*landbouw!B17/100</f>
        <v>107.3934030286302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1202.4929999999999</v>
      </c>
      <c r="C8" s="21">
        <f>C5+C6</f>
        <v>0</v>
      </c>
      <c r="D8" s="21">
        <f>MAX((D5+D6),0)</f>
        <v>252.67725999999999</v>
      </c>
      <c r="E8" s="21">
        <f>MAX((E5+E6),0)</f>
        <v>12.592767025118338</v>
      </c>
      <c r="F8" s="21">
        <f>MAX((F5+F6),0)</f>
        <v>6176.1955140671016</v>
      </c>
      <c r="G8" s="21"/>
      <c r="H8" s="21"/>
      <c r="I8" s="21"/>
      <c r="J8" s="21">
        <f>MAX((J5+J6),0)</f>
        <v>107.3934030286302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0.20547206368825002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247.07871828067482</v>
      </c>
      <c r="C12" s="23">
        <f ca="1">C8*C10</f>
        <v>0</v>
      </c>
      <c r="D12" s="23">
        <f>D8*D10</f>
        <v>51.040806520000004</v>
      </c>
      <c r="E12" s="23">
        <f>E8*E10</f>
        <v>2.8585581147018626</v>
      </c>
      <c r="F12" s="23">
        <f>F8*F10</f>
        <v>1649.0442022559162</v>
      </c>
      <c r="G12" s="23"/>
      <c r="H12" s="23"/>
      <c r="I12" s="23"/>
      <c r="J12" s="23">
        <f>J8*J10</f>
        <v>38.017264672135092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0.18508688510451607</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147.96158654969105</v>
      </c>
      <c r="C26" s="248">
        <f>B26*'GWP N2O_CH4'!B5</f>
        <v>3107.193317543512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71.84908916353082</v>
      </c>
      <c r="C27" s="248">
        <f>B27*'GWP N2O_CH4'!B5</f>
        <v>1508.8308724341473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1.8675421918522073</v>
      </c>
      <c r="C28" s="248">
        <f>B28*'GWP N2O_CH4'!B4</f>
        <v>578.93807947418429</v>
      </c>
      <c r="D28" s="50"/>
    </row>
    <row r="29" spans="1:4">
      <c r="A29" s="41" t="s">
        <v>278</v>
      </c>
      <c r="B29" s="248">
        <f>B34*'ha_N2O bodem landbouw'!B4</f>
        <v>7.7644648216930232</v>
      </c>
      <c r="C29" s="248">
        <f>B29*'GWP N2O_CH4'!B4</f>
        <v>2406.9840947248372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1.2831797879110486E-3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8.0413742710034258E-7</v>
      </c>
      <c r="C5" s="446" t="s">
        <v>212</v>
      </c>
      <c r="D5" s="431">
        <f>SUM(D6:D11)</f>
        <v>4.5025832237655049E-6</v>
      </c>
      <c r="E5" s="431">
        <f>SUM(E6:E11)</f>
        <v>4.4729539665184256E-4</v>
      </c>
      <c r="F5" s="444" t="s">
        <v>212</v>
      </c>
      <c r="G5" s="431">
        <f>SUM(G6:G11)</f>
        <v>8.2549341810618182E-2</v>
      </c>
      <c r="H5" s="431">
        <f>SUM(H6:H11)</f>
        <v>1.482199584356399E-2</v>
      </c>
      <c r="I5" s="446" t="s">
        <v>212</v>
      </c>
      <c r="J5" s="446" t="s">
        <v>212</v>
      </c>
      <c r="K5" s="446" t="s">
        <v>212</v>
      </c>
      <c r="L5" s="446" t="s">
        <v>212</v>
      </c>
      <c r="M5" s="431">
        <f>SUM(M6:M11)</f>
        <v>4.2504112695974216E-3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5.0146246969247167E-7</v>
      </c>
      <c r="C6" s="432"/>
      <c r="D6" s="432">
        <f>vkm_2011_GW_PW*SUMIFS(TableVerdeelsleutelVkm[CNG],TableVerdeelsleutelVkm[Voertuigtype],"Lichte voertuigen")*SUMIFS(TableECFTransport[EnergieConsumptieFactor (PJ per km)],TableECFTransport[Index],CONCATENATE($A6,"_CNG_CNG"))</f>
        <v>2.1617464169111265E-6</v>
      </c>
      <c r="E6" s="434">
        <f>vkm_2011_GW_PW*SUMIFS(TableVerdeelsleutelVkm[LPG],TableVerdeelsleutelVkm[Voertuigtype],"Lichte voertuigen")*SUMIFS(TableECFTransport[EnergieConsumptieFactor (PJ per km)],TableECFTransport[Index],CONCATENATE($A6,"_LPG_LPG"))</f>
        <v>2.2491645048197911E-4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2.7665340867666172E-2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7.2837109410424043E-3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1.5316350024329431E-3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1.9089763648045578E-2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6.5456154157038956E-6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8.2464202158104836E-4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3.0267495740787091E-7</v>
      </c>
      <c r="C8" s="432"/>
      <c r="D8" s="434">
        <f>vkm_2011_NGW_PW*SUMIFS(TableVerdeelsleutelVkm[CNG],TableVerdeelsleutelVkm[Voertuigtype],"Lichte voertuigen")*SUMIFS(TableECFTransport[EnergieConsumptieFactor (PJ per km)],TableECFTransport[Index],CONCATENATE($A8,"_CNG_CNG"))</f>
        <v>2.340836806854378E-6</v>
      </c>
      <c r="E8" s="434">
        <f>vkm_2011_NGW_PW*SUMIFS(TableVerdeelsleutelVkm[LPG],TableVerdeelsleutelVkm[Voertuigtype],"Lichte voertuigen")*SUMIFS(TableECFTransport[EnergieConsumptieFactor (PJ per km)],TableECFTransport[Index],CONCATENATE($A8,"_LPG_LPG"))</f>
        <v>2.2237894616986342E-4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2.5943907175055781E-2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7.5288051325419787E-3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1.4686389541575841E-3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9.8503301198506442E-3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2.9341545639035909E-6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4.254952914258462E-4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0.22337150752787294</v>
      </c>
      <c r="C14" s="21"/>
      <c r="D14" s="21">
        <f t="shared" ref="D14:M14" si="0">((D5)*10^9/3600)+D12</f>
        <v>1.2507175621570847</v>
      </c>
      <c r="E14" s="21">
        <f t="shared" si="0"/>
        <v>124.24872129217849</v>
      </c>
      <c r="F14" s="21"/>
      <c r="G14" s="21">
        <f t="shared" si="0"/>
        <v>22930.372725171717</v>
      </c>
      <c r="H14" s="21">
        <f t="shared" si="0"/>
        <v>4117.2210676566638</v>
      </c>
      <c r="I14" s="21"/>
      <c r="J14" s="21"/>
      <c r="K14" s="21"/>
      <c r="L14" s="21"/>
      <c r="M14" s="21">
        <f t="shared" si="0"/>
        <v>1180.6697971103949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0.20547206368825002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4.5896604620907527E-2</v>
      </c>
      <c r="C18" s="23"/>
      <c r="D18" s="23">
        <f t="shared" ref="D18:M18" si="1">D14*D16</f>
        <v>0.25264494755573114</v>
      </c>
      <c r="E18" s="23">
        <f t="shared" si="1"/>
        <v>28.204459733324519</v>
      </c>
      <c r="F18" s="23"/>
      <c r="G18" s="23">
        <f t="shared" si="1"/>
        <v>6122.4095176208484</v>
      </c>
      <c r="H18" s="23">
        <f t="shared" si="1"/>
        <v>1025.1880458465093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6.3872254355681662E-4</v>
      </c>
      <c r="H50" s="322">
        <f t="shared" si="2"/>
        <v>0</v>
      </c>
      <c r="I50" s="322">
        <f t="shared" si="2"/>
        <v>0</v>
      </c>
      <c r="J50" s="322">
        <f t="shared" si="2"/>
        <v>0</v>
      </c>
      <c r="K50" s="322">
        <f t="shared" si="2"/>
        <v>0</v>
      </c>
      <c r="L50" s="322">
        <f t="shared" si="2"/>
        <v>0</v>
      </c>
      <c r="M50" s="322">
        <f t="shared" si="2"/>
        <v>2.7225967116703928E-5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6.3872254355681662E-4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2.7225967116703928E-5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177.42292876578239</v>
      </c>
      <c r="H54" s="21">
        <f t="shared" si="3"/>
        <v>0</v>
      </c>
      <c r="I54" s="21">
        <f t="shared" si="3"/>
        <v>0</v>
      </c>
      <c r="J54" s="21">
        <f t="shared" si="3"/>
        <v>0</v>
      </c>
      <c r="K54" s="21">
        <f t="shared" si="3"/>
        <v>0</v>
      </c>
      <c r="L54" s="21">
        <f t="shared" si="3"/>
        <v>0</v>
      </c>
      <c r="M54" s="21">
        <f t="shared" si="3"/>
        <v>7.5627686435288686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0.20547206368825002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47.371921980463902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847.17553871068867</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1494</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4268.5714285714284</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2341.1755387106887</v>
      </c>
      <c r="C9" s="578">
        <f t="shared" ref="C9:L9" si="0">SUM(C7:C8)</f>
        <v>0</v>
      </c>
      <c r="D9" s="578">
        <f t="shared" si="0"/>
        <v>0</v>
      </c>
      <c r="E9" s="578">
        <f t="shared" si="0"/>
        <v>0</v>
      </c>
      <c r="F9" s="578">
        <f t="shared" si="0"/>
        <v>0</v>
      </c>
      <c r="G9" s="578">
        <f t="shared" si="0"/>
        <v>0</v>
      </c>
      <c r="H9" s="578">
        <f t="shared" si="0"/>
        <v>0</v>
      </c>
      <c r="I9" s="578">
        <f t="shared" si="0"/>
        <v>0</v>
      </c>
      <c r="J9" s="578">
        <f t="shared" si="0"/>
        <v>4268.5714285714284</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34025</v>
      </c>
      <c r="C63" s="839">
        <v>8860</v>
      </c>
      <c r="D63" s="658" t="s">
        <v>931</v>
      </c>
      <c r="E63" s="658" t="s">
        <v>932</v>
      </c>
      <c r="F63" s="658" t="s">
        <v>933</v>
      </c>
      <c r="G63" s="658" t="s">
        <v>934</v>
      </c>
      <c r="H63" s="658" t="s">
        <v>935</v>
      </c>
      <c r="I63" s="658" t="s">
        <v>936</v>
      </c>
      <c r="J63" s="838">
        <v>38168</v>
      </c>
      <c r="K63" s="838">
        <v>38188</v>
      </c>
      <c r="L63" s="658" t="s">
        <v>937</v>
      </c>
      <c r="M63" s="658">
        <v>332</v>
      </c>
      <c r="N63" s="658">
        <v>1494</v>
      </c>
      <c r="O63" s="658">
        <v>0</v>
      </c>
      <c r="P63" s="658">
        <v>0</v>
      </c>
      <c r="Q63" s="658">
        <v>0</v>
      </c>
      <c r="R63" s="658">
        <v>4268.5714285714284</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332</v>
      </c>
      <c r="N88" s="613">
        <f t="shared" ref="N88:W88" si="5">SUM(N63:N87)</f>
        <v>1494</v>
      </c>
      <c r="O88" s="613">
        <f t="shared" si="5"/>
        <v>0</v>
      </c>
      <c r="P88" s="613">
        <f t="shared" si="5"/>
        <v>0</v>
      </c>
      <c r="Q88" s="613">
        <f t="shared" si="5"/>
        <v>0</v>
      </c>
      <c r="R88" s="613">
        <f t="shared" si="5"/>
        <v>4268.5714285714284</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332</v>
      </c>
      <c r="N90" s="613">
        <f t="shared" ref="N90:W90" si="7">SUMIF($Z$63:$Z$88,"tertiair",N63:N88)</f>
        <v>1494</v>
      </c>
      <c r="O90" s="613">
        <f t="shared" si="7"/>
        <v>0</v>
      </c>
      <c r="P90" s="613">
        <f t="shared" si="7"/>
        <v>0</v>
      </c>
      <c r="Q90" s="613">
        <f t="shared" si="7"/>
        <v>0</v>
      </c>
      <c r="R90" s="613">
        <f t="shared" si="7"/>
        <v>4268.5714285714284</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6068.3779999999997</v>
      </c>
      <c r="D10" s="702">
        <f ca="1">tertiair!C16</f>
        <v>0</v>
      </c>
      <c r="E10" s="702">
        <f ca="1">tertiair!D16</f>
        <v>3794.1511520000004</v>
      </c>
      <c r="F10" s="702">
        <f>tertiair!E16</f>
        <v>43.931401788203694</v>
      </c>
      <c r="G10" s="702">
        <f ca="1">tertiair!F16</f>
        <v>810.37470750828163</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1.5633333333333335</v>
      </c>
      <c r="Q10" s="703">
        <f>tertiair!P16</f>
        <v>19.066666666666666</v>
      </c>
      <c r="R10" s="705">
        <f ca="1">SUM(C10:Q10)</f>
        <v>10737.465261296486</v>
      </c>
      <c r="S10" s="67"/>
    </row>
    <row r="11" spans="1:19" s="457" customFormat="1">
      <c r="A11" s="858" t="s">
        <v>226</v>
      </c>
      <c r="B11" s="863"/>
      <c r="C11" s="702">
        <f>huishoudens!B8</f>
        <v>11826.080404914861</v>
      </c>
      <c r="D11" s="702">
        <f>huishoudens!C8</f>
        <v>0</v>
      </c>
      <c r="E11" s="702">
        <f>huishoudens!D8</f>
        <v>24461.794412000003</v>
      </c>
      <c r="F11" s="702">
        <f>huishoudens!E8</f>
        <v>1127.1345878025743</v>
      </c>
      <c r="G11" s="702">
        <f>huishoudens!F8</f>
        <v>3424.8763002675046</v>
      </c>
      <c r="H11" s="702">
        <f>huishoudens!G8</f>
        <v>0</v>
      </c>
      <c r="I11" s="702">
        <f>huishoudens!H8</f>
        <v>0</v>
      </c>
      <c r="J11" s="702">
        <f>huishoudens!I8</f>
        <v>0</v>
      </c>
      <c r="K11" s="702">
        <f>huishoudens!J8</f>
        <v>740.10004762447511</v>
      </c>
      <c r="L11" s="702">
        <f>huishoudens!K8</f>
        <v>0</v>
      </c>
      <c r="M11" s="702">
        <f>huishoudens!L8</f>
        <v>0</v>
      </c>
      <c r="N11" s="702">
        <f>huishoudens!M8</f>
        <v>0</v>
      </c>
      <c r="O11" s="702">
        <f>huishoudens!N8</f>
        <v>6783.26857640459</v>
      </c>
      <c r="P11" s="702">
        <f>huishoudens!O8</f>
        <v>35.956666666666671</v>
      </c>
      <c r="Q11" s="703">
        <f>huishoudens!P8</f>
        <v>0</v>
      </c>
      <c r="R11" s="705">
        <f>SUM(C11:Q11)</f>
        <v>48399.210995680667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14223.402</v>
      </c>
      <c r="D13" s="702">
        <f>industrie!C18</f>
        <v>0</v>
      </c>
      <c r="E13" s="702">
        <f>industrie!D18</f>
        <v>14863.416678000001</v>
      </c>
      <c r="F13" s="702">
        <f>industrie!E18</f>
        <v>134.10795316938948</v>
      </c>
      <c r="G13" s="702">
        <f>industrie!F18</f>
        <v>2734.169620968315</v>
      </c>
      <c r="H13" s="702">
        <f>industrie!G18</f>
        <v>0</v>
      </c>
      <c r="I13" s="702">
        <f>industrie!H18</f>
        <v>0</v>
      </c>
      <c r="J13" s="702">
        <f>industrie!I18</f>
        <v>0</v>
      </c>
      <c r="K13" s="702">
        <f>industrie!J18</f>
        <v>61.36164727650003</v>
      </c>
      <c r="L13" s="702">
        <f>industrie!K18</f>
        <v>0</v>
      </c>
      <c r="M13" s="702">
        <f>industrie!L18</f>
        <v>0</v>
      </c>
      <c r="N13" s="702">
        <f>industrie!M18</f>
        <v>0</v>
      </c>
      <c r="O13" s="702">
        <f>industrie!N18</f>
        <v>248.59967783503114</v>
      </c>
      <c r="P13" s="702">
        <f>industrie!O18</f>
        <v>0</v>
      </c>
      <c r="Q13" s="703">
        <f>industrie!P18</f>
        <v>0</v>
      </c>
      <c r="R13" s="705">
        <f>SUM(C13:Q13)</f>
        <v>32265.057577249238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32117.860404914863</v>
      </c>
      <c r="D15" s="707">
        <f t="shared" ref="D15:Q15" ca="1" si="0">SUM(D9:D14)</f>
        <v>0</v>
      </c>
      <c r="E15" s="707">
        <f t="shared" ca="1" si="0"/>
        <v>43119.362242000003</v>
      </c>
      <c r="F15" s="707">
        <f t="shared" si="0"/>
        <v>1305.1739427601674</v>
      </c>
      <c r="G15" s="707">
        <f t="shared" ca="1" si="0"/>
        <v>6969.4206287441011</v>
      </c>
      <c r="H15" s="707">
        <f t="shared" si="0"/>
        <v>0</v>
      </c>
      <c r="I15" s="707">
        <f t="shared" si="0"/>
        <v>0</v>
      </c>
      <c r="J15" s="707">
        <f t="shared" si="0"/>
        <v>0</v>
      </c>
      <c r="K15" s="707">
        <f t="shared" si="0"/>
        <v>801.46169490097509</v>
      </c>
      <c r="L15" s="707">
        <f t="shared" si="0"/>
        <v>0</v>
      </c>
      <c r="M15" s="707">
        <f t="shared" ca="1" si="0"/>
        <v>0</v>
      </c>
      <c r="N15" s="707">
        <f t="shared" si="0"/>
        <v>0</v>
      </c>
      <c r="O15" s="707">
        <f t="shared" ca="1" si="0"/>
        <v>7031.8682542396209</v>
      </c>
      <c r="P15" s="707">
        <f t="shared" si="0"/>
        <v>37.520000000000003</v>
      </c>
      <c r="Q15" s="708">
        <f t="shared" si="0"/>
        <v>19.066666666666666</v>
      </c>
      <c r="R15" s="709">
        <f ca="1">SUM(R9:R14)</f>
        <v>91401.733834226383</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177.42292876578239</v>
      </c>
      <c r="I18" s="702">
        <f>transport!H54</f>
        <v>0</v>
      </c>
      <c r="J18" s="702">
        <f>transport!I54</f>
        <v>0</v>
      </c>
      <c r="K18" s="702">
        <f>transport!J54</f>
        <v>0</v>
      </c>
      <c r="L18" s="702">
        <f>transport!K54</f>
        <v>0</v>
      </c>
      <c r="M18" s="702">
        <f>transport!L54</f>
        <v>0</v>
      </c>
      <c r="N18" s="702">
        <f>transport!M54</f>
        <v>7.5627686435288686</v>
      </c>
      <c r="O18" s="702">
        <f>transport!N54</f>
        <v>0</v>
      </c>
      <c r="P18" s="702">
        <f>transport!O54</f>
        <v>0</v>
      </c>
      <c r="Q18" s="703">
        <f>transport!P54</f>
        <v>0</v>
      </c>
      <c r="R18" s="705">
        <f>SUM(C18:Q18)</f>
        <v>184.98569740931126</v>
      </c>
      <c r="S18" s="67"/>
    </row>
    <row r="19" spans="1:19" s="457" customFormat="1" ht="15" thickBot="1">
      <c r="A19" s="858" t="s">
        <v>308</v>
      </c>
      <c r="B19" s="863"/>
      <c r="C19" s="711">
        <f>transport!B14</f>
        <v>0.22337150752787294</v>
      </c>
      <c r="D19" s="711">
        <f>transport!C14</f>
        <v>0</v>
      </c>
      <c r="E19" s="711">
        <f>transport!D14</f>
        <v>1.2507175621570847</v>
      </c>
      <c r="F19" s="711">
        <f>transport!E14</f>
        <v>124.24872129217849</v>
      </c>
      <c r="G19" s="711">
        <f>transport!F14</f>
        <v>0</v>
      </c>
      <c r="H19" s="711">
        <f>transport!G14</f>
        <v>22930.372725171717</v>
      </c>
      <c r="I19" s="711">
        <f>transport!H14</f>
        <v>4117.2210676566638</v>
      </c>
      <c r="J19" s="711">
        <f>transport!I14</f>
        <v>0</v>
      </c>
      <c r="K19" s="711">
        <f>transport!J14</f>
        <v>0</v>
      </c>
      <c r="L19" s="711">
        <f>transport!K14</f>
        <v>0</v>
      </c>
      <c r="M19" s="711">
        <f>transport!L14</f>
        <v>0</v>
      </c>
      <c r="N19" s="711">
        <f>transport!M14</f>
        <v>1180.6697971103949</v>
      </c>
      <c r="O19" s="711">
        <f>transport!N14</f>
        <v>0</v>
      </c>
      <c r="P19" s="711">
        <f>transport!O14</f>
        <v>0</v>
      </c>
      <c r="Q19" s="712">
        <f>transport!P14</f>
        <v>0</v>
      </c>
      <c r="R19" s="713">
        <f>SUM(C19:Q19)</f>
        <v>28353.986400300637</v>
      </c>
      <c r="S19" s="67"/>
    </row>
    <row r="20" spans="1:19" s="457" customFormat="1" ht="15.75" thickBot="1">
      <c r="A20" s="714" t="s">
        <v>231</v>
      </c>
      <c r="B20" s="866"/>
      <c r="C20" s="861">
        <f>SUM(C17:C19)</f>
        <v>0.22337150752787294</v>
      </c>
      <c r="D20" s="715">
        <f t="shared" ref="D20:R20" si="1">SUM(D17:D19)</f>
        <v>0</v>
      </c>
      <c r="E20" s="715">
        <f t="shared" si="1"/>
        <v>1.2507175621570847</v>
      </c>
      <c r="F20" s="715">
        <f t="shared" si="1"/>
        <v>124.24872129217849</v>
      </c>
      <c r="G20" s="715">
        <f t="shared" si="1"/>
        <v>0</v>
      </c>
      <c r="H20" s="715">
        <f t="shared" si="1"/>
        <v>23107.795653937501</v>
      </c>
      <c r="I20" s="715">
        <f t="shared" si="1"/>
        <v>4117.2210676566638</v>
      </c>
      <c r="J20" s="715">
        <f t="shared" si="1"/>
        <v>0</v>
      </c>
      <c r="K20" s="715">
        <f t="shared" si="1"/>
        <v>0</v>
      </c>
      <c r="L20" s="715">
        <f t="shared" si="1"/>
        <v>0</v>
      </c>
      <c r="M20" s="715">
        <f t="shared" si="1"/>
        <v>0</v>
      </c>
      <c r="N20" s="715">
        <f t="shared" si="1"/>
        <v>1188.2325657539238</v>
      </c>
      <c r="O20" s="715">
        <f t="shared" si="1"/>
        <v>0</v>
      </c>
      <c r="P20" s="715">
        <f t="shared" si="1"/>
        <v>0</v>
      </c>
      <c r="Q20" s="716">
        <f t="shared" si="1"/>
        <v>0</v>
      </c>
      <c r="R20" s="717">
        <f t="shared" si="1"/>
        <v>28538.97209770995</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1202.4929999999999</v>
      </c>
      <c r="D22" s="711">
        <f>+landbouw!C8</f>
        <v>0</v>
      </c>
      <c r="E22" s="711">
        <f>+landbouw!D8</f>
        <v>252.67725999999999</v>
      </c>
      <c r="F22" s="711">
        <f>+landbouw!E8</f>
        <v>12.592767025118338</v>
      </c>
      <c r="G22" s="711">
        <f>+landbouw!F8</f>
        <v>6176.1955140671016</v>
      </c>
      <c r="H22" s="711">
        <f>+landbouw!G8</f>
        <v>0</v>
      </c>
      <c r="I22" s="711">
        <f>+landbouw!H8</f>
        <v>0</v>
      </c>
      <c r="J22" s="711">
        <f>+landbouw!I8</f>
        <v>0</v>
      </c>
      <c r="K22" s="711">
        <f>+landbouw!J8</f>
        <v>107.3934030286302</v>
      </c>
      <c r="L22" s="711">
        <f>+landbouw!K8</f>
        <v>0</v>
      </c>
      <c r="M22" s="711">
        <f>+landbouw!L8</f>
        <v>0</v>
      </c>
      <c r="N22" s="711">
        <f>+landbouw!M8</f>
        <v>0</v>
      </c>
      <c r="O22" s="711">
        <f>+landbouw!N8</f>
        <v>0</v>
      </c>
      <c r="P22" s="711">
        <f>+landbouw!O8</f>
        <v>0</v>
      </c>
      <c r="Q22" s="712">
        <f>+landbouw!P8</f>
        <v>0</v>
      </c>
      <c r="R22" s="713">
        <f>SUM(C22:Q22)</f>
        <v>7751.35194412085</v>
      </c>
      <c r="S22" s="67"/>
    </row>
    <row r="23" spans="1:19" s="457" customFormat="1" ht="17.25" thickTop="1" thickBot="1">
      <c r="A23" s="718" t="s">
        <v>116</v>
      </c>
      <c r="B23" s="852"/>
      <c r="C23" s="719">
        <f ca="1">C20+C15+C22</f>
        <v>33320.576776422393</v>
      </c>
      <c r="D23" s="719">
        <f t="shared" ref="D23:Q23" ca="1" si="2">D20+D15+D22</f>
        <v>0</v>
      </c>
      <c r="E23" s="719">
        <f t="shared" ca="1" si="2"/>
        <v>43373.290219562157</v>
      </c>
      <c r="F23" s="719">
        <f t="shared" si="2"/>
        <v>1442.0154310774642</v>
      </c>
      <c r="G23" s="719">
        <f t="shared" ca="1" si="2"/>
        <v>13145.616142811203</v>
      </c>
      <c r="H23" s="719">
        <f t="shared" si="2"/>
        <v>23107.795653937501</v>
      </c>
      <c r="I23" s="719">
        <f t="shared" si="2"/>
        <v>4117.2210676566638</v>
      </c>
      <c r="J23" s="719">
        <f t="shared" si="2"/>
        <v>0</v>
      </c>
      <c r="K23" s="719">
        <f t="shared" si="2"/>
        <v>908.85509792960534</v>
      </c>
      <c r="L23" s="719">
        <f t="shared" si="2"/>
        <v>0</v>
      </c>
      <c r="M23" s="719">
        <f t="shared" ca="1" si="2"/>
        <v>0</v>
      </c>
      <c r="N23" s="719">
        <f t="shared" si="2"/>
        <v>1188.2325657539238</v>
      </c>
      <c r="O23" s="719">
        <f t="shared" ca="1" si="2"/>
        <v>7031.8682542396209</v>
      </c>
      <c r="P23" s="719">
        <f t="shared" si="2"/>
        <v>37.520000000000003</v>
      </c>
      <c r="Q23" s="720">
        <f t="shared" si="2"/>
        <v>19.066666666666666</v>
      </c>
      <c r="R23" s="721">
        <f ca="1">R20+R15+R22</f>
        <v>127692.05787605718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1246.8821509003753</v>
      </c>
      <c r="D36" s="702">
        <f ca="1">tertiair!C20</f>
        <v>0</v>
      </c>
      <c r="E36" s="702">
        <f ca="1">tertiair!D20</f>
        <v>766.41853270400009</v>
      </c>
      <c r="F36" s="702">
        <f>tertiair!E20</f>
        <v>9.9724282059222382</v>
      </c>
      <c r="G36" s="702">
        <f ca="1">tertiair!F20</f>
        <v>216.37004690471122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2239.6431587150091</v>
      </c>
    </row>
    <row r="37" spans="1:18">
      <c r="A37" s="873" t="s">
        <v>226</v>
      </c>
      <c r="B37" s="880"/>
      <c r="C37" s="702">
        <f ca="1">huishoudens!B12</f>
        <v>2429.9291461410321</v>
      </c>
      <c r="D37" s="702">
        <f ca="1">huishoudens!C12</f>
        <v>0</v>
      </c>
      <c r="E37" s="702">
        <f>huishoudens!D12</f>
        <v>4941.2824712240008</v>
      </c>
      <c r="F37" s="702">
        <f>huishoudens!E12</f>
        <v>255.85955143118437</v>
      </c>
      <c r="G37" s="702">
        <f>huishoudens!F12</f>
        <v>914.4419721714238</v>
      </c>
      <c r="H37" s="702">
        <f>huishoudens!G12</f>
        <v>0</v>
      </c>
      <c r="I37" s="702">
        <f>huishoudens!H12</f>
        <v>0</v>
      </c>
      <c r="J37" s="702">
        <f>huishoudens!I12</f>
        <v>0</v>
      </c>
      <c r="K37" s="702">
        <f>huishoudens!J12</f>
        <v>261.99541685906416</v>
      </c>
      <c r="L37" s="702">
        <f>huishoudens!K12</f>
        <v>0</v>
      </c>
      <c r="M37" s="702">
        <f>huishoudens!L12</f>
        <v>0</v>
      </c>
      <c r="N37" s="702">
        <f>huishoudens!M12</f>
        <v>0</v>
      </c>
      <c r="O37" s="702">
        <f>huishoudens!N12</f>
        <v>0</v>
      </c>
      <c r="P37" s="702">
        <f>huishoudens!O12</f>
        <v>0</v>
      </c>
      <c r="Q37" s="812">
        <f>huishoudens!P12</f>
        <v>0</v>
      </c>
      <c r="R37" s="905">
        <f ca="1">SUM(C37:Q37)</f>
        <v>8803.5085578267062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2922.5117616075827</v>
      </c>
      <c r="D39" s="702">
        <f ca="1">industrie!C22</f>
        <v>0</v>
      </c>
      <c r="E39" s="702">
        <f>industrie!D22</f>
        <v>3002.4101689560007</v>
      </c>
      <c r="F39" s="702">
        <f>industrie!E22</f>
        <v>30.442505369451411</v>
      </c>
      <c r="G39" s="702">
        <f>industrie!F22</f>
        <v>730.02328879854019</v>
      </c>
      <c r="H39" s="702">
        <f>industrie!G22</f>
        <v>0</v>
      </c>
      <c r="I39" s="702">
        <f>industrie!H22</f>
        <v>0</v>
      </c>
      <c r="J39" s="702">
        <f>industrie!I22</f>
        <v>0</v>
      </c>
      <c r="K39" s="702">
        <f>industrie!J22</f>
        <v>21.72202313588101</v>
      </c>
      <c r="L39" s="702">
        <f>industrie!K22</f>
        <v>0</v>
      </c>
      <c r="M39" s="702">
        <f>industrie!L22</f>
        <v>0</v>
      </c>
      <c r="N39" s="702">
        <f>industrie!M22</f>
        <v>0</v>
      </c>
      <c r="O39" s="702">
        <f>industrie!N22</f>
        <v>0</v>
      </c>
      <c r="P39" s="702">
        <f>industrie!O22</f>
        <v>0</v>
      </c>
      <c r="Q39" s="812">
        <f>industrie!P22</f>
        <v>0</v>
      </c>
      <c r="R39" s="906">
        <f ca="1">SUM(C39:Q39)</f>
        <v>6707.1097478674556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6599.3230586489899</v>
      </c>
      <c r="D41" s="747">
        <f t="shared" ref="D41:R41" ca="1" si="4">SUM(D35:D40)</f>
        <v>0</v>
      </c>
      <c r="E41" s="747">
        <f t="shared" ca="1" si="4"/>
        <v>8710.1111728840024</v>
      </c>
      <c r="F41" s="747">
        <f t="shared" si="4"/>
        <v>296.274485006558</v>
      </c>
      <c r="G41" s="747">
        <f t="shared" ca="1" si="4"/>
        <v>1860.8353078746754</v>
      </c>
      <c r="H41" s="747">
        <f t="shared" si="4"/>
        <v>0</v>
      </c>
      <c r="I41" s="747">
        <f t="shared" si="4"/>
        <v>0</v>
      </c>
      <c r="J41" s="747">
        <f t="shared" si="4"/>
        <v>0</v>
      </c>
      <c r="K41" s="747">
        <f t="shared" si="4"/>
        <v>283.71743999494515</v>
      </c>
      <c r="L41" s="747">
        <f t="shared" si="4"/>
        <v>0</v>
      </c>
      <c r="M41" s="747">
        <f t="shared" ca="1" si="4"/>
        <v>0</v>
      </c>
      <c r="N41" s="747">
        <f t="shared" si="4"/>
        <v>0</v>
      </c>
      <c r="O41" s="747">
        <f t="shared" ca="1" si="4"/>
        <v>0</v>
      </c>
      <c r="P41" s="747">
        <f t="shared" si="4"/>
        <v>0</v>
      </c>
      <c r="Q41" s="748">
        <f t="shared" si="4"/>
        <v>0</v>
      </c>
      <c r="R41" s="749">
        <f t="shared" ca="1" si="4"/>
        <v>17750.26146440917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47.371921980463902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47.371921980463902</v>
      </c>
    </row>
    <row r="45" spans="1:18" ht="15" thickBot="1">
      <c r="A45" s="876" t="s">
        <v>308</v>
      </c>
      <c r="B45" s="886"/>
      <c r="C45" s="711">
        <f ca="1">transport!B18</f>
        <v>4.5896604620907527E-2</v>
      </c>
      <c r="D45" s="711">
        <f>transport!C18</f>
        <v>0</v>
      </c>
      <c r="E45" s="711">
        <f>transport!D18</f>
        <v>0.25264494755573114</v>
      </c>
      <c r="F45" s="711">
        <f>transport!E18</f>
        <v>28.204459733324519</v>
      </c>
      <c r="G45" s="711">
        <f>transport!F18</f>
        <v>0</v>
      </c>
      <c r="H45" s="711">
        <f>transport!G18</f>
        <v>6122.4095176208484</v>
      </c>
      <c r="I45" s="711">
        <f>transport!H18</f>
        <v>1025.1880458465093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7176.1005647528591</v>
      </c>
    </row>
    <row r="46" spans="1:18" ht="15.75" thickBot="1">
      <c r="A46" s="874" t="s">
        <v>231</v>
      </c>
      <c r="B46" s="887"/>
      <c r="C46" s="747">
        <f t="shared" ref="C46:R46" ca="1" si="5">SUM(C43:C45)</f>
        <v>4.5896604620907527E-2</v>
      </c>
      <c r="D46" s="747">
        <f t="shared" ca="1" si="5"/>
        <v>0</v>
      </c>
      <c r="E46" s="747">
        <f t="shared" si="5"/>
        <v>0.25264494755573114</v>
      </c>
      <c r="F46" s="747">
        <f t="shared" si="5"/>
        <v>28.204459733324519</v>
      </c>
      <c r="G46" s="747">
        <f t="shared" si="5"/>
        <v>0</v>
      </c>
      <c r="H46" s="747">
        <f t="shared" si="5"/>
        <v>6169.7814396013127</v>
      </c>
      <c r="I46" s="747">
        <f t="shared" si="5"/>
        <v>1025.1880458465093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7223.4724867333234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247.07871828067482</v>
      </c>
      <c r="D48" s="702">
        <f ca="1">+landbouw!C12</f>
        <v>0</v>
      </c>
      <c r="E48" s="702">
        <f>+landbouw!D12</f>
        <v>51.040806520000004</v>
      </c>
      <c r="F48" s="702">
        <f>+landbouw!E12</f>
        <v>2.8585581147018626</v>
      </c>
      <c r="G48" s="702">
        <f>+landbouw!F12</f>
        <v>1649.0442022559162</v>
      </c>
      <c r="H48" s="702">
        <f>+landbouw!G12</f>
        <v>0</v>
      </c>
      <c r="I48" s="702">
        <f>+landbouw!H12</f>
        <v>0</v>
      </c>
      <c r="J48" s="702">
        <f>+landbouw!I12</f>
        <v>0</v>
      </c>
      <c r="K48" s="702">
        <f>+landbouw!J12</f>
        <v>38.017264672135092</v>
      </c>
      <c r="L48" s="702">
        <f>+landbouw!K12</f>
        <v>0</v>
      </c>
      <c r="M48" s="702">
        <f>+landbouw!L12</f>
        <v>0</v>
      </c>
      <c r="N48" s="702">
        <f>+landbouw!M12</f>
        <v>0</v>
      </c>
      <c r="O48" s="702">
        <f>+landbouw!N12</f>
        <v>0</v>
      </c>
      <c r="P48" s="702">
        <f>+landbouw!O12</f>
        <v>0</v>
      </c>
      <c r="Q48" s="703">
        <f>+landbouw!P12</f>
        <v>0</v>
      </c>
      <c r="R48" s="745">
        <f ca="1">SUM(C48:Q48)</f>
        <v>1988.0395498434279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6846.4476735342851</v>
      </c>
      <c r="D53" s="757">
        <f t="shared" ref="D53:Q53" ca="1" si="6">D41+D46+D48</f>
        <v>0</v>
      </c>
      <c r="E53" s="757">
        <f t="shared" ca="1" si="6"/>
        <v>8761.4046243515586</v>
      </c>
      <c r="F53" s="757">
        <f t="shared" si="6"/>
        <v>327.33750285458439</v>
      </c>
      <c r="G53" s="757">
        <f t="shared" ca="1" si="6"/>
        <v>3509.8795101305914</v>
      </c>
      <c r="H53" s="757">
        <f t="shared" si="6"/>
        <v>6169.7814396013127</v>
      </c>
      <c r="I53" s="757">
        <f t="shared" si="6"/>
        <v>1025.1880458465093</v>
      </c>
      <c r="J53" s="757">
        <f t="shared" si="6"/>
        <v>0</v>
      </c>
      <c r="K53" s="757">
        <f t="shared" si="6"/>
        <v>321.73470466708022</v>
      </c>
      <c r="L53" s="757">
        <f t="shared" si="6"/>
        <v>0</v>
      </c>
      <c r="M53" s="757">
        <f t="shared" ca="1" si="6"/>
        <v>0</v>
      </c>
      <c r="N53" s="757">
        <f t="shared" si="6"/>
        <v>0</v>
      </c>
      <c r="O53" s="757">
        <f t="shared" ca="1" si="6"/>
        <v>0</v>
      </c>
      <c r="P53" s="757">
        <f>P41+P46+P48</f>
        <v>0</v>
      </c>
      <c r="Q53" s="758">
        <f t="shared" si="6"/>
        <v>0</v>
      </c>
      <c r="R53" s="759">
        <f ca="1">R41+R46+R48</f>
        <v>26961.773500985921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0.20547206368824997</v>
      </c>
      <c r="D55" s="823">
        <f t="shared" ca="1" si="7"/>
        <v>0</v>
      </c>
      <c r="E55" s="823">
        <f t="shared" ca="1" si="7"/>
        <v>0.20200000000000007</v>
      </c>
      <c r="F55" s="823">
        <f t="shared" si="7"/>
        <v>0.22700000000000001</v>
      </c>
      <c r="G55" s="823">
        <f t="shared" ca="1" si="7"/>
        <v>0.26700000000000002</v>
      </c>
      <c r="H55" s="823">
        <f t="shared" si="7"/>
        <v>0.26700000000000002</v>
      </c>
      <c r="I55" s="823">
        <f t="shared" si="7"/>
        <v>0.24900000000000003</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847.17553871068867</v>
      </c>
      <c r="C66" s="779">
        <f>'lokale energieproductie'!B6</f>
        <v>847.17553871068867</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1494</v>
      </c>
      <c r="C68" s="778">
        <f>B68*IFERROR(SUM(J68:L68)/SUM(D68:M68),0)</f>
        <v>1494</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4268.5714285714284</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2341.1755387106887</v>
      </c>
      <c r="C69" s="787">
        <f>SUM(C64:C68)</f>
        <v>2341.1755387106887</v>
      </c>
      <c r="D69" s="788">
        <f t="shared" ref="D69:M69" si="8">SUM(D67:D68)</f>
        <v>0</v>
      </c>
      <c r="E69" s="788">
        <f t="shared" si="8"/>
        <v>0</v>
      </c>
      <c r="F69" s="788">
        <f t="shared" si="8"/>
        <v>0</v>
      </c>
      <c r="G69" s="788">
        <f t="shared" si="8"/>
        <v>0</v>
      </c>
      <c r="H69" s="788">
        <f t="shared" si="8"/>
        <v>0</v>
      </c>
      <c r="I69" s="788">
        <f t="shared" si="8"/>
        <v>0</v>
      </c>
      <c r="J69" s="788">
        <f t="shared" si="8"/>
        <v>0</v>
      </c>
      <c r="K69" s="788">
        <f t="shared" si="8"/>
        <v>4268.5714285714284</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11826.080404914861</v>
      </c>
      <c r="C4" s="461">
        <f>huishoudens!C8</f>
        <v>0</v>
      </c>
      <c r="D4" s="461">
        <f>huishoudens!D8</f>
        <v>24461.794412000003</v>
      </c>
      <c r="E4" s="461">
        <f>huishoudens!E8</f>
        <v>1127.1345878025743</v>
      </c>
      <c r="F4" s="461">
        <f>huishoudens!F8</f>
        <v>3424.8763002675046</v>
      </c>
      <c r="G4" s="461">
        <f>huishoudens!G8</f>
        <v>0</v>
      </c>
      <c r="H4" s="461">
        <f>huishoudens!H8</f>
        <v>0</v>
      </c>
      <c r="I4" s="461">
        <f>huishoudens!I8</f>
        <v>0</v>
      </c>
      <c r="J4" s="461">
        <f>huishoudens!J8</f>
        <v>740.10004762447511</v>
      </c>
      <c r="K4" s="461">
        <f>huishoudens!K8</f>
        <v>0</v>
      </c>
      <c r="L4" s="461">
        <f>huishoudens!L8</f>
        <v>0</v>
      </c>
      <c r="M4" s="461">
        <f>huishoudens!M8</f>
        <v>0</v>
      </c>
      <c r="N4" s="461">
        <f>huishoudens!N8</f>
        <v>6783.26857640459</v>
      </c>
      <c r="O4" s="461">
        <f>huishoudens!O8</f>
        <v>35.956666666666671</v>
      </c>
      <c r="P4" s="462">
        <f>huishoudens!P8</f>
        <v>0</v>
      </c>
      <c r="Q4" s="463">
        <f>SUM(B4:P4)</f>
        <v>48399.210995680667</v>
      </c>
    </row>
    <row r="5" spans="1:17">
      <c r="A5" s="460" t="s">
        <v>156</v>
      </c>
      <c r="B5" s="461">
        <f ca="1">tertiair!B16</f>
        <v>5614.0099999999993</v>
      </c>
      <c r="C5" s="461">
        <f ca="1">tertiair!C16</f>
        <v>0</v>
      </c>
      <c r="D5" s="461">
        <f ca="1">tertiair!D16</f>
        <v>3794.1511520000004</v>
      </c>
      <c r="E5" s="461">
        <f>tertiair!E16</f>
        <v>43.931401788203694</v>
      </c>
      <c r="F5" s="461">
        <f ca="1">tertiair!F16</f>
        <v>810.37470750828163</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1.5633333333333335</v>
      </c>
      <c r="P5" s="462">
        <f>tertiair!P16</f>
        <v>19.066666666666666</v>
      </c>
      <c r="Q5" s="460">
        <f t="shared" ref="Q5:Q13" ca="1" si="0">SUM(B5:P5)</f>
        <v>10283.097261296487</v>
      </c>
    </row>
    <row r="6" spans="1:17">
      <c r="A6" s="460" t="s">
        <v>195</v>
      </c>
      <c r="B6" s="461">
        <f>'openbare verlichting'!B8</f>
        <v>454.36799999999999</v>
      </c>
      <c r="C6" s="461"/>
      <c r="D6" s="461"/>
      <c r="E6" s="461"/>
      <c r="F6" s="461"/>
      <c r="G6" s="461"/>
      <c r="H6" s="461"/>
      <c r="I6" s="461"/>
      <c r="J6" s="461"/>
      <c r="K6" s="461"/>
      <c r="L6" s="461"/>
      <c r="M6" s="461"/>
      <c r="N6" s="461"/>
      <c r="O6" s="461"/>
      <c r="P6" s="462"/>
      <c r="Q6" s="460">
        <f t="shared" si="0"/>
        <v>454.36799999999999</v>
      </c>
    </row>
    <row r="7" spans="1:17">
      <c r="A7" s="460" t="s">
        <v>112</v>
      </c>
      <c r="B7" s="461">
        <f>landbouw!B8</f>
        <v>1202.4929999999999</v>
      </c>
      <c r="C7" s="461">
        <f>landbouw!C8</f>
        <v>0</v>
      </c>
      <c r="D7" s="461">
        <f>landbouw!D8</f>
        <v>252.67725999999999</v>
      </c>
      <c r="E7" s="461">
        <f>landbouw!E8</f>
        <v>12.592767025118338</v>
      </c>
      <c r="F7" s="461">
        <f>landbouw!F8</f>
        <v>6176.1955140671016</v>
      </c>
      <c r="G7" s="461">
        <f>landbouw!G8</f>
        <v>0</v>
      </c>
      <c r="H7" s="461">
        <f>landbouw!H8</f>
        <v>0</v>
      </c>
      <c r="I7" s="461">
        <f>landbouw!I8</f>
        <v>0</v>
      </c>
      <c r="J7" s="461">
        <f>landbouw!J8</f>
        <v>107.3934030286302</v>
      </c>
      <c r="K7" s="461">
        <f>landbouw!K8</f>
        <v>0</v>
      </c>
      <c r="L7" s="461">
        <f>landbouw!L8</f>
        <v>0</v>
      </c>
      <c r="M7" s="461">
        <f>landbouw!M8</f>
        <v>0</v>
      </c>
      <c r="N7" s="461">
        <f>landbouw!N8</f>
        <v>0</v>
      </c>
      <c r="O7" s="461">
        <f>landbouw!O8</f>
        <v>0</v>
      </c>
      <c r="P7" s="462">
        <f>landbouw!P8</f>
        <v>0</v>
      </c>
      <c r="Q7" s="460">
        <f t="shared" si="0"/>
        <v>7751.35194412085</v>
      </c>
    </row>
    <row r="8" spans="1:17">
      <c r="A8" s="460" t="s">
        <v>656</v>
      </c>
      <c r="B8" s="461">
        <f>industrie!B18</f>
        <v>14223.402</v>
      </c>
      <c r="C8" s="461">
        <f>industrie!C18</f>
        <v>0</v>
      </c>
      <c r="D8" s="461">
        <f>industrie!D18</f>
        <v>14863.416678000001</v>
      </c>
      <c r="E8" s="461">
        <f>industrie!E18</f>
        <v>134.10795316938948</v>
      </c>
      <c r="F8" s="461">
        <f>industrie!F18</f>
        <v>2734.169620968315</v>
      </c>
      <c r="G8" s="461">
        <f>industrie!G18</f>
        <v>0</v>
      </c>
      <c r="H8" s="461">
        <f>industrie!H18</f>
        <v>0</v>
      </c>
      <c r="I8" s="461">
        <f>industrie!I18</f>
        <v>0</v>
      </c>
      <c r="J8" s="461">
        <f>industrie!J18</f>
        <v>61.36164727650003</v>
      </c>
      <c r="K8" s="461">
        <f>industrie!K18</f>
        <v>0</v>
      </c>
      <c r="L8" s="461">
        <f>industrie!L18</f>
        <v>0</v>
      </c>
      <c r="M8" s="461">
        <f>industrie!M18</f>
        <v>0</v>
      </c>
      <c r="N8" s="461">
        <f>industrie!N18</f>
        <v>248.59967783503114</v>
      </c>
      <c r="O8" s="461">
        <f>industrie!O18</f>
        <v>0</v>
      </c>
      <c r="P8" s="462">
        <f>industrie!P18</f>
        <v>0</v>
      </c>
      <c r="Q8" s="460">
        <f t="shared" si="0"/>
        <v>32265.057577249238</v>
      </c>
    </row>
    <row r="9" spans="1:17" s="466" customFormat="1">
      <c r="A9" s="464" t="s">
        <v>574</v>
      </c>
      <c r="B9" s="465">
        <f>transport!B14</f>
        <v>0.22337150752787294</v>
      </c>
      <c r="C9" s="465"/>
      <c r="D9" s="465">
        <f>transport!D14</f>
        <v>1.2507175621570847</v>
      </c>
      <c r="E9" s="465">
        <f>transport!E14</f>
        <v>124.24872129217849</v>
      </c>
      <c r="F9" s="465"/>
      <c r="G9" s="465">
        <f>transport!G14</f>
        <v>22930.372725171717</v>
      </c>
      <c r="H9" s="465">
        <f>transport!H14</f>
        <v>4117.2210676566638</v>
      </c>
      <c r="I9" s="465"/>
      <c r="J9" s="465"/>
      <c r="K9" s="465"/>
      <c r="L9" s="465"/>
      <c r="M9" s="465">
        <f>transport!M14</f>
        <v>1180.6697971103949</v>
      </c>
      <c r="N9" s="465"/>
      <c r="O9" s="465"/>
      <c r="P9" s="465"/>
      <c r="Q9" s="464">
        <f>SUM(B9:P9)</f>
        <v>28353.986400300637</v>
      </c>
    </row>
    <row r="10" spans="1:17">
      <c r="A10" s="460" t="s">
        <v>564</v>
      </c>
      <c r="B10" s="461">
        <f>transport!B54</f>
        <v>0</v>
      </c>
      <c r="C10" s="461"/>
      <c r="D10" s="461">
        <f>transport!D54</f>
        <v>0</v>
      </c>
      <c r="E10" s="461"/>
      <c r="F10" s="461"/>
      <c r="G10" s="461">
        <f>transport!G54</f>
        <v>177.42292876578239</v>
      </c>
      <c r="H10" s="461"/>
      <c r="I10" s="461"/>
      <c r="J10" s="461"/>
      <c r="K10" s="461"/>
      <c r="L10" s="461"/>
      <c r="M10" s="461">
        <f>transport!M54</f>
        <v>7.5627686435288686</v>
      </c>
      <c r="N10" s="461"/>
      <c r="O10" s="461"/>
      <c r="P10" s="462"/>
      <c r="Q10" s="460">
        <f t="shared" si="0"/>
        <v>184.98569740931126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33320.576776422386</v>
      </c>
      <c r="C14" s="471">
        <f t="shared" ref="C14:Q14" ca="1" si="1">SUM(C4:C13)</f>
        <v>0</v>
      </c>
      <c r="D14" s="471">
        <f t="shared" ca="1" si="1"/>
        <v>43373.290219562157</v>
      </c>
      <c r="E14" s="471">
        <f t="shared" si="1"/>
        <v>1442.0154310774642</v>
      </c>
      <c r="F14" s="471">
        <f t="shared" ca="1" si="1"/>
        <v>13145.616142811203</v>
      </c>
      <c r="G14" s="471">
        <f t="shared" si="1"/>
        <v>23107.795653937501</v>
      </c>
      <c r="H14" s="471">
        <f t="shared" si="1"/>
        <v>4117.2210676566638</v>
      </c>
      <c r="I14" s="471">
        <f t="shared" si="1"/>
        <v>0</v>
      </c>
      <c r="J14" s="471">
        <f t="shared" si="1"/>
        <v>908.85509792960534</v>
      </c>
      <c r="K14" s="471">
        <f t="shared" si="1"/>
        <v>0</v>
      </c>
      <c r="L14" s="471">
        <f t="shared" ca="1" si="1"/>
        <v>0</v>
      </c>
      <c r="M14" s="471">
        <f t="shared" si="1"/>
        <v>1188.2325657539238</v>
      </c>
      <c r="N14" s="471">
        <f t="shared" ca="1" si="1"/>
        <v>7031.8682542396209</v>
      </c>
      <c r="O14" s="471">
        <f t="shared" si="1"/>
        <v>37.520000000000003</v>
      </c>
      <c r="P14" s="472">
        <f t="shared" si="1"/>
        <v>19.066666666666666</v>
      </c>
      <c r="Q14" s="472">
        <f t="shared" ca="1" si="1"/>
        <v>127692.0578760572</v>
      </c>
    </row>
    <row r="16" spans="1:17">
      <c r="A16" s="474" t="s">
        <v>569</v>
      </c>
      <c r="B16" s="828">
        <f ca="1">huishoudens!B10</f>
        <v>0.20547206368825002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2429.9291461410321</v>
      </c>
      <c r="C21" s="461">
        <f t="shared" ref="C21:C28" ca="1" si="3">C4*$C$16</f>
        <v>0</v>
      </c>
      <c r="D21" s="461">
        <f t="shared" ref="D21:D30" si="4">D4*$D$16</f>
        <v>4941.2824712240008</v>
      </c>
      <c r="E21" s="461">
        <f t="shared" ref="E21:E30" si="5">E4*$E$16</f>
        <v>255.85955143118437</v>
      </c>
      <c r="F21" s="461">
        <f t="shared" ref="F21:F28" si="6">F4*$F$16</f>
        <v>914.4419721714238</v>
      </c>
      <c r="G21" s="461">
        <f t="shared" ref="G21:G30" si="7">G4*$G$16</f>
        <v>0</v>
      </c>
      <c r="H21" s="461">
        <f t="shared" ref="H21:H30" si="8">H4*$H$16</f>
        <v>0</v>
      </c>
      <c r="I21" s="461">
        <f t="shared" ref="I21:I28" si="9">I4*$I$16</f>
        <v>0</v>
      </c>
      <c r="J21" s="461">
        <f t="shared" ref="J21:J28" si="10">J4*$J$16</f>
        <v>261.99541685906416</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8803.5085578267062</v>
      </c>
    </row>
    <row r="22" spans="1:17">
      <c r="A22" s="460" t="s">
        <v>156</v>
      </c>
      <c r="B22" s="461">
        <f t="shared" ca="1" si="2"/>
        <v>1153.5222202664725</v>
      </c>
      <c r="C22" s="461">
        <f t="shared" ca="1" si="3"/>
        <v>0</v>
      </c>
      <c r="D22" s="461">
        <f t="shared" ca="1" si="4"/>
        <v>766.41853270400009</v>
      </c>
      <c r="E22" s="461">
        <f t="shared" si="5"/>
        <v>9.9724282059222382</v>
      </c>
      <c r="F22" s="461">
        <f t="shared" ca="1" si="6"/>
        <v>216.37004690471122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2146.2832280811062</v>
      </c>
    </row>
    <row r="23" spans="1:17">
      <c r="A23" s="460" t="s">
        <v>195</v>
      </c>
      <c r="B23" s="461">
        <f t="shared" ca="1" si="2"/>
        <v>93.359930633902792</v>
      </c>
      <c r="C23" s="461"/>
      <c r="D23" s="461"/>
      <c r="E23" s="461"/>
      <c r="F23" s="461"/>
      <c r="G23" s="461"/>
      <c r="H23" s="461"/>
      <c r="I23" s="461"/>
      <c r="J23" s="461"/>
      <c r="K23" s="461"/>
      <c r="L23" s="461"/>
      <c r="M23" s="461"/>
      <c r="N23" s="461"/>
      <c r="O23" s="461"/>
      <c r="P23" s="462"/>
      <c r="Q23" s="460">
        <f t="shared" ca="1" si="17"/>
        <v>93.359930633902792</v>
      </c>
    </row>
    <row r="24" spans="1:17">
      <c r="A24" s="460" t="s">
        <v>112</v>
      </c>
      <c r="B24" s="461">
        <f t="shared" ca="1" si="2"/>
        <v>247.07871828067482</v>
      </c>
      <c r="C24" s="461">
        <f t="shared" ca="1" si="3"/>
        <v>0</v>
      </c>
      <c r="D24" s="461">
        <f t="shared" si="4"/>
        <v>51.040806520000004</v>
      </c>
      <c r="E24" s="461">
        <f t="shared" si="5"/>
        <v>2.8585581147018626</v>
      </c>
      <c r="F24" s="461">
        <f t="shared" si="6"/>
        <v>1649.0442022559162</v>
      </c>
      <c r="G24" s="461">
        <f t="shared" si="7"/>
        <v>0</v>
      </c>
      <c r="H24" s="461">
        <f t="shared" si="8"/>
        <v>0</v>
      </c>
      <c r="I24" s="461">
        <f t="shared" si="9"/>
        <v>0</v>
      </c>
      <c r="J24" s="461">
        <f t="shared" si="10"/>
        <v>38.017264672135092</v>
      </c>
      <c r="K24" s="461">
        <f t="shared" si="11"/>
        <v>0</v>
      </c>
      <c r="L24" s="461">
        <f t="shared" si="12"/>
        <v>0</v>
      </c>
      <c r="M24" s="461">
        <f t="shared" si="13"/>
        <v>0</v>
      </c>
      <c r="N24" s="461">
        <f t="shared" si="14"/>
        <v>0</v>
      </c>
      <c r="O24" s="461">
        <f t="shared" si="15"/>
        <v>0</v>
      </c>
      <c r="P24" s="462">
        <f t="shared" si="16"/>
        <v>0</v>
      </c>
      <c r="Q24" s="460">
        <f t="shared" ca="1" si="17"/>
        <v>1988.0395498434279</v>
      </c>
    </row>
    <row r="25" spans="1:17">
      <c r="A25" s="460" t="s">
        <v>656</v>
      </c>
      <c r="B25" s="461">
        <f t="shared" ca="1" si="2"/>
        <v>2922.5117616075827</v>
      </c>
      <c r="C25" s="461">
        <f t="shared" ca="1" si="3"/>
        <v>0</v>
      </c>
      <c r="D25" s="461">
        <f t="shared" si="4"/>
        <v>3002.4101689560007</v>
      </c>
      <c r="E25" s="461">
        <f t="shared" si="5"/>
        <v>30.442505369451411</v>
      </c>
      <c r="F25" s="461">
        <f t="shared" si="6"/>
        <v>730.02328879854019</v>
      </c>
      <c r="G25" s="461">
        <f t="shared" si="7"/>
        <v>0</v>
      </c>
      <c r="H25" s="461">
        <f t="shared" si="8"/>
        <v>0</v>
      </c>
      <c r="I25" s="461">
        <f t="shared" si="9"/>
        <v>0</v>
      </c>
      <c r="J25" s="461">
        <f t="shared" si="10"/>
        <v>21.72202313588101</v>
      </c>
      <c r="K25" s="461">
        <f t="shared" si="11"/>
        <v>0</v>
      </c>
      <c r="L25" s="461">
        <f t="shared" si="12"/>
        <v>0</v>
      </c>
      <c r="M25" s="461">
        <f t="shared" si="13"/>
        <v>0</v>
      </c>
      <c r="N25" s="461">
        <f t="shared" si="14"/>
        <v>0</v>
      </c>
      <c r="O25" s="461">
        <f t="shared" si="15"/>
        <v>0</v>
      </c>
      <c r="P25" s="462">
        <f t="shared" si="16"/>
        <v>0</v>
      </c>
      <c r="Q25" s="460">
        <f t="shared" ca="1" si="17"/>
        <v>6707.1097478674556</v>
      </c>
    </row>
    <row r="26" spans="1:17" s="466" customFormat="1">
      <c r="A26" s="464" t="s">
        <v>574</v>
      </c>
      <c r="B26" s="822">
        <f t="shared" ca="1" si="2"/>
        <v>4.5896604620907527E-2</v>
      </c>
      <c r="C26" s="465"/>
      <c r="D26" s="465">
        <f t="shared" si="4"/>
        <v>0.25264494755573114</v>
      </c>
      <c r="E26" s="465">
        <f t="shared" si="5"/>
        <v>28.204459733324519</v>
      </c>
      <c r="F26" s="465"/>
      <c r="G26" s="465">
        <f t="shared" si="7"/>
        <v>6122.4095176208484</v>
      </c>
      <c r="H26" s="465">
        <f t="shared" si="8"/>
        <v>1025.1880458465093</v>
      </c>
      <c r="I26" s="465"/>
      <c r="J26" s="465"/>
      <c r="K26" s="465"/>
      <c r="L26" s="465"/>
      <c r="M26" s="465">
        <f t="shared" si="13"/>
        <v>0</v>
      </c>
      <c r="N26" s="465"/>
      <c r="O26" s="465"/>
      <c r="P26" s="476"/>
      <c r="Q26" s="464">
        <f t="shared" ca="1" si="17"/>
        <v>7176.1005647528591</v>
      </c>
    </row>
    <row r="27" spans="1:17">
      <c r="A27" s="460" t="s">
        <v>564</v>
      </c>
      <c r="B27" s="461">
        <f t="shared" ca="1" si="2"/>
        <v>0</v>
      </c>
      <c r="C27" s="461"/>
      <c r="D27" s="465">
        <f>D10*$D$16</f>
        <v>0</v>
      </c>
      <c r="E27" s="461"/>
      <c r="F27" s="461"/>
      <c r="G27" s="461">
        <f t="shared" si="7"/>
        <v>47.371921980463902</v>
      </c>
      <c r="H27" s="461"/>
      <c r="I27" s="461"/>
      <c r="J27" s="461"/>
      <c r="K27" s="461"/>
      <c r="L27" s="461"/>
      <c r="M27" s="461">
        <f t="shared" si="13"/>
        <v>0</v>
      </c>
      <c r="N27" s="461"/>
      <c r="O27" s="461"/>
      <c r="P27" s="462"/>
      <c r="Q27" s="460">
        <f t="shared" ca="1" si="17"/>
        <v>47.371921980463902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6846.447673534286</v>
      </c>
      <c r="C31" s="471">
        <f t="shared" ca="1" si="18"/>
        <v>0</v>
      </c>
      <c r="D31" s="471">
        <f t="shared" ca="1" si="18"/>
        <v>8761.4046243515568</v>
      </c>
      <c r="E31" s="471">
        <f t="shared" si="18"/>
        <v>327.33750285458439</v>
      </c>
      <c r="F31" s="471">
        <f t="shared" ca="1" si="18"/>
        <v>3509.8795101305914</v>
      </c>
      <c r="G31" s="471">
        <f t="shared" si="18"/>
        <v>6169.7814396013127</v>
      </c>
      <c r="H31" s="471">
        <f t="shared" si="18"/>
        <v>1025.1880458465093</v>
      </c>
      <c r="I31" s="471">
        <f t="shared" si="18"/>
        <v>0</v>
      </c>
      <c r="J31" s="471">
        <f t="shared" si="18"/>
        <v>321.73470466708022</v>
      </c>
      <c r="K31" s="471">
        <f t="shared" si="18"/>
        <v>0</v>
      </c>
      <c r="L31" s="471">
        <f t="shared" ca="1" si="18"/>
        <v>0</v>
      </c>
      <c r="M31" s="471">
        <f t="shared" si="18"/>
        <v>0</v>
      </c>
      <c r="N31" s="471">
        <f t="shared" ca="1" si="18"/>
        <v>0</v>
      </c>
      <c r="O31" s="471">
        <f t="shared" si="18"/>
        <v>0</v>
      </c>
      <c r="P31" s="472">
        <f t="shared" si="18"/>
        <v>0</v>
      </c>
      <c r="Q31" s="472">
        <f t="shared" ca="1" si="18"/>
        <v>26961.773500985917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0.20547206368825002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0.20547206368825002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0.20547206368825002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2018-12-05T15:56:49Z</dcterms:modified>
</cp:coreProperties>
</file>