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I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J15" i="16" l="1"/>
  <c r="D16"/>
  <c r="C97" i="18"/>
  <c r="I100" s="1"/>
  <c r="H7" s="1"/>
  <c r="I67" i="14" s="1"/>
  <c r="L68"/>
  <c r="F13" i="15"/>
  <c r="D6" i="17"/>
  <c r="D8" s="1"/>
  <c r="H68" i="14"/>
  <c r="H69" s="1"/>
  <c r="C18" i="16"/>
  <c r="C8" i="48" s="1"/>
  <c r="O80" i="14"/>
  <c r="J8" i="18"/>
  <c r="K68" i="14" s="1"/>
  <c r="E8" i="16"/>
  <c r="C12" i="14"/>
  <c r="R12" s="1"/>
  <c r="F19" i="19"/>
  <c r="G35" i="14" s="1"/>
  <c r="L19" i="19"/>
  <c r="M35" i="14" s="1"/>
  <c r="L12" i="13"/>
  <c r="M37" i="14" s="1"/>
  <c r="B97" i="18"/>
  <c r="D101" s="1"/>
  <c r="L4" i="48"/>
  <c r="M12" i="13"/>
  <c r="N37" i="14" s="1"/>
  <c r="N16" i="16"/>
  <c r="D12" i="22"/>
  <c r="E17" i="14"/>
  <c r="D13" i="48"/>
  <c r="D30" s="1"/>
  <c r="D31" i="20"/>
  <c r="E43" i="14" s="1"/>
  <c r="I101" i="18"/>
  <c r="H16" s="1"/>
  <c r="I78" i="14" s="1"/>
  <c r="F101" i="18"/>
  <c r="G101"/>
  <c r="I16" s="1"/>
  <c r="J78" i="14" s="1"/>
  <c r="C101" i="18"/>
  <c r="B101"/>
  <c r="C16" s="1"/>
  <c r="D78" i="14" s="1"/>
  <c r="E12" i="22"/>
  <c r="F17" i="14"/>
  <c r="E13" i="48"/>
  <c r="E30" s="1"/>
  <c r="B12" i="22"/>
  <c r="C17" i="14"/>
  <c r="B13" i="48"/>
  <c r="B13" i="16"/>
  <c r="C35"/>
  <c r="C64" i="14"/>
  <c r="D11" i="48"/>
  <c r="D14" i="15"/>
  <c r="K19" i="19"/>
  <c r="L35" i="14" s="1"/>
  <c r="I19" i="19"/>
  <c r="J35" i="14" s="1"/>
  <c r="B6" i="48"/>
  <c r="Q6" s="1"/>
  <c r="P18" i="16"/>
  <c r="P22" s="1"/>
  <c r="Q39" i="14" s="1"/>
  <c r="J8" i="17"/>
  <c r="J7" i="48" s="1"/>
  <c r="J24" s="1"/>
  <c r="G19" i="18"/>
  <c r="K19"/>
  <c r="L16" i="16"/>
  <c r="L18" s="1"/>
  <c r="N6" i="17"/>
  <c r="G100" i="18"/>
  <c r="B81" i="14"/>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10"/>
  <c r="G20" i="15"/>
  <c r="H36" i="14" s="1"/>
  <c r="H41" s="1"/>
  <c r="H20" i="15"/>
  <c r="I36" i="14" s="1"/>
  <c r="I41" s="1"/>
  <c r="I10"/>
  <c r="I15" s="1"/>
  <c r="C66"/>
  <c r="B66"/>
  <c r="F8" i="16"/>
  <c r="J9"/>
  <c r="B7" i="48"/>
  <c r="C22" i="14"/>
  <c r="C65"/>
  <c r="B65"/>
  <c r="F6" i="15"/>
  <c r="F8"/>
  <c r="N10" i="16"/>
  <c r="E14"/>
  <c r="L41" i="14"/>
  <c r="H15"/>
  <c r="L15"/>
  <c r="M46"/>
  <c r="P20"/>
  <c r="K20"/>
  <c r="L69"/>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H21"/>
  <c r="K24"/>
  <c r="K25"/>
  <c r="Q11" i="14"/>
  <c r="P12" i="13"/>
  <c r="Q37" i="14" s="1"/>
  <c r="P4" i="48"/>
  <c r="P21" s="1"/>
  <c r="D12" i="13"/>
  <c r="E37" i="14" s="1"/>
  <c r="D4" i="48"/>
  <c r="D21" s="1"/>
  <c r="E11" i="14"/>
  <c r="D28" i="48"/>
  <c r="H28"/>
  <c r="L28"/>
  <c r="G25"/>
  <c r="E28"/>
  <c r="I28"/>
  <c r="C22" i="13"/>
  <c r="C21"/>
  <c r="C20"/>
  <c r="H25" i="48"/>
  <c r="F28"/>
  <c r="J28"/>
  <c r="N28"/>
  <c r="O24"/>
  <c r="I25"/>
  <c r="P11" i="14"/>
  <c r="O12" i="13"/>
  <c r="P37" i="14" s="1"/>
  <c r="H9" i="18"/>
  <c r="B10" i="48"/>
  <c r="C18" i="14"/>
  <c r="F7" i="48"/>
  <c r="F24" s="1"/>
  <c r="J12" i="17"/>
  <c r="K48" i="14" s="1"/>
  <c r="P24" i="48"/>
  <c r="E5" i="17"/>
  <c r="C8"/>
  <c r="G24" i="48"/>
  <c r="I24"/>
  <c r="G81" i="14"/>
  <c r="D79"/>
  <c r="H79"/>
  <c r="H81" s="1"/>
  <c r="L79"/>
  <c r="L81" s="1"/>
  <c r="F79"/>
  <c r="J79"/>
  <c r="E68"/>
  <c r="E69" s="1"/>
  <c r="I68"/>
  <c r="M68"/>
  <c r="M69" s="1"/>
  <c r="D19" i="18"/>
  <c r="L19"/>
  <c r="B68" i="14"/>
  <c r="G68"/>
  <c r="G69" s="1"/>
  <c r="E81"/>
  <c r="I81"/>
  <c r="M81"/>
  <c r="B19" i="18"/>
  <c r="F19"/>
  <c r="D11" i="14"/>
  <c r="C4" i="48"/>
  <c r="M17" i="18"/>
  <c r="M18"/>
  <c r="D13" i="14"/>
  <c r="D7" i="48" l="1"/>
  <c r="D24" s="1"/>
  <c r="E22" i="14"/>
  <c r="D12" i="17"/>
  <c r="E48" i="14" s="1"/>
  <c r="C9" i="18"/>
  <c r="J81" i="14"/>
  <c r="I19" i="18"/>
  <c r="F100"/>
  <c r="M8"/>
  <c r="K14" i="48"/>
  <c r="N41" i="14"/>
  <c r="I69"/>
  <c r="F12" i="17"/>
  <c r="G48" i="14" s="1"/>
  <c r="G31" i="20"/>
  <c r="H43" i="14" s="1"/>
  <c r="E101" i="18"/>
  <c r="E16" s="1"/>
  <c r="F78" i="14" s="1"/>
  <c r="F81" s="1"/>
  <c r="E100" i="18"/>
  <c r="E7" s="1"/>
  <c r="F67" i="14" s="1"/>
  <c r="F69" s="1"/>
  <c r="D100" i="18"/>
  <c r="H101"/>
  <c r="J16" s="1"/>
  <c r="K78" i="14" s="1"/>
  <c r="K81" s="1"/>
  <c r="H19" i="18"/>
  <c r="G13" i="48"/>
  <c r="G30" s="1"/>
  <c r="H100" i="18"/>
  <c r="J7" s="1"/>
  <c r="C100"/>
  <c r="E9"/>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69"/>
  <c r="O6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O78" i="14" l="1"/>
  <c r="O81" s="1"/>
  <c r="B17" i="6" s="1"/>
  <c r="E13" i="14"/>
  <c r="E19" i="18"/>
  <c r="J19"/>
  <c r="Q15" i="14"/>
  <c r="Q23" s="1"/>
  <c r="Q55" s="1"/>
  <c r="Q13" i="48"/>
  <c r="C78" i="14"/>
  <c r="C81" s="1"/>
  <c r="L7" i="48"/>
  <c r="L24" s="1"/>
  <c r="M22" i="14"/>
  <c r="R22" s="1"/>
  <c r="L12" i="17"/>
  <c r="M48" i="14" s="1"/>
  <c r="O22"/>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N12" i="13"/>
  <c r="O37" i="14" s="1"/>
  <c r="O11"/>
  <c r="C38" i="13"/>
  <c r="C39"/>
  <c r="C32"/>
  <c r="C34"/>
  <c r="E4" i="48"/>
  <c r="E21" s="1"/>
  <c r="F11" i="14"/>
  <c r="J4" i="48"/>
  <c r="J12" i="13"/>
  <c r="K37" i="14" s="1"/>
  <c r="K11"/>
  <c r="N5" i="48"/>
  <c r="L20" i="15"/>
  <c r="Q7" i="48" l="1"/>
  <c r="D14"/>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R19"/>
  <c r="H46"/>
  <c r="H53" s="1"/>
  <c r="G26" i="48"/>
  <c r="G14"/>
  <c r="G27"/>
  <c r="Q10"/>
  <c r="R18" i="14"/>
  <c r="H20"/>
  <c r="H23" s="1"/>
  <c r="Q9" i="48"/>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<sst xmlns="http://schemas.openxmlformats.org/spreadsheetml/2006/main" count="2225" uniqueCount="938">
  <si>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</si>
  <si>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</si>
  <si>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</si>
  <si>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</si>
  <si>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</si>
  <si>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</si>
  <si>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</si>
  <si>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</si>
  <si>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</si>
  <si>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</si>
  <si>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</si>
  <si>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</si>
  <si>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</si>
  <si>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</si>
  <si>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</si>
  <si>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</si>
  <si>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</si>
  <si>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</si>
  <si>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</si>
  <si>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</si>
  <si>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</si>
  <si>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</si>
  <si>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</si>
  <si>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</si>
  <si>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</si>
  <si>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</si>
  <si>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</si>
  <si>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</si>
  <si>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</si>
  <si>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</si>
  <si>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</si>
  <si>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</si>
  <si>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</si>
  <si>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</si>
  <si>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</si>
  <si>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</si>
  <si>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</si>
  <si>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</si>
  <si>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</si>
  <si>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</si>
  <si>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</si>
  <si>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</si>
  <si>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</si>
  <si>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</si>
  <si>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</si>
  <si>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</si>
  <si>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</si>
  <si>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</si>
  <si>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</si>
  <si>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</si>
  <si>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</si>
  <si>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</si>
  <si>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</si>
  <si>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</si>
  <si>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</si>
  <si>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</si>
  <si>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</si>
  <si>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</si>
  <si>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</si>
  <si>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</si>
  <si>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</si>
  <si>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</si>
  <si>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</si>
  <si>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</si>
  <si>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</si>
  <si>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</si>
  <si>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</si>
  <si>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</si>
  <si>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</si>
  <si>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</si>
  <si>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</si>
  <si>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</si>
  <si>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</si>
  <si>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</si>
  <si>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</si>
  <si>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</si>
  <si>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</si>
  <si>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</si>
  <si>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</si>
  <si>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</si>
  <si>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</si>
  <si>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</si>
  <si>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</si>
  <si>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</si>
  <si>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</si>
  <si>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</si>
  <si>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</si>
  <si>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</si>
  <si>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</si>
  <si>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</si>
  <si>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</si>
  <si>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</si>
  <si>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</si>
  <si>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</si>
  <si>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</si>
  <si>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</si>
  <si>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</si>
  <si>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</si>
  <si>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</si>
  <si>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</si>
  <si>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</si>
  <si>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</si>
  <si>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</si>
  <si>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</si>
  <si>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</si>
  <si>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</si>
  <si>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</si>
  <si>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</si>
  <si>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</si>
  <si>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</si>
  <si>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</si>
  <si>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</si>
  <si>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</si>
  <si>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</si>
  <si>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</si>
  <si>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</si>
  <si>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</si>
  <si>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</si>
  <si>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</si>
  <si>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</si>
  <si>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</si>
  <si>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</si>
  <si>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</si>
  <si>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</si>
  <si>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</si>
  <si>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</si>
  <si>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</si>
  <si>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</si>
  <si>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</si>
  <si>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</si>
  <si>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</si>
  <si>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</si>
  <si>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</si>
  <si>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</si>
  <si>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</si>
  <si>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</si>
  <si>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</si>
  <si>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</si>
  <si>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</si>
  <si>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</si>
  <si>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</si>
  <si>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</si>
  <si>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</si>
  <si>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</si>
  <si>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</si>
  <si>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</si>
  <si>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</si>
  <si>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</si>
  <si>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</si>
  <si>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</si>
  <si>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</si>
  <si>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</si>
  <si>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</si>
  <si>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</si>
  <si>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</si>
  <si>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</si>
  <si>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</si>
  <si>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</si>
  <si>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</si>
  <si>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</si>
  <si>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</si>
  <si>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</si>
  <si>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</si>
  <si>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</si>
  <si>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</si>
  <si>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</si>
  <si>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</si>
  <si>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</si>
  <si>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</si>
  <si>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</si>
  <si>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</si>
  <si>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</si>
  <si>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</si>
  <si>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</si>
  <si>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</si>
  <si>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</si>
  <si>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</si>
  <si>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</si>
  <si>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</si>
  <si>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</si>
  <si>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</si>
  <si>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</si>
  <si>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</si>
  <si>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</si>
  <si>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</si>
  <si>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</si>
  <si>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</si>
  <si>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</si>
  <si>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</si>
  <si>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</si>
  <si>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</si>
  <si>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</si>
  <si>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</si>
  <si>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</si>
  <si>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</si>
  <si>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</si>
  <si>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</si>
  <si>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</si>
  <si>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</si>
  <si>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</si>
  <si>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</si>
  <si>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</si>
  <si>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</si>
  <si>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</si>
  <si>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</si>
  <si>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</si>
  <si>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</si>
  <si>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</si>
  <si>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</si>
  <si>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</si>
  <si>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</si>
  <si>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</si>
  <si>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</si>
  <si>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</si>
  <si>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</si>
  <si>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</si>
  <si>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</si>
  <si>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</si>
  <si>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</si>
  <si>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</si>
  <si>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</si>
  <si>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</si>
  <si>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</si>
  <si>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</si>
  <si>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</si>
  <si>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</si>
  <si>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</si>
  <si>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</si>
  <si>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</si>
  <si>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</si>
  <si>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</si>
  <si>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</si>
  <si>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</si>
  <si>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</si>
  <si>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</si>
  <si>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</si>
  <si>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</si>
  <si>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</si>
  <si>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</si>
  <si>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</si>
  <si>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</si>
  <si>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</si>
  <si>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</si>
  <si>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</si>
  <si>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</si>
  <si>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</si>
  <si>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</si>
  <si>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</si>
  <si>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</si>
  <si>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</si>
  <si>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</si>
  <si>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</si>
  <si>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</si>
  <si>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</si>
  <si>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</si>
  <si>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</si>
  <si>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</si>
  <si>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</si>
  <si>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</si>
  <si>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</si>
  <si>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</si>
  <si>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</si>
  <si>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</si>
  <si>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</si>
  <si>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</si>
  <si>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</si>
  <si>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</si>
  <si>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</si>
  <si>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</si>
  <si>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</si>
  <si>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</si>
  <si>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</si>
  <si>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</si>
  <si>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</si>
  <si>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</si>
  <si>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</si>
  <si>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</si>
  <si>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</si>
  <si>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</si>
  <si>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</si>
  <si>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</si>
  <si>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</si>
  <si>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</si>
  <si>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</si>
  <si>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</si>
  <si>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</si>
  <si>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</si>
  <si>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</si>
  <si>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</si>
  <si>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</si>
  <si>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</si>
  <si>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</si>
  <si>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</si>
  <si>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</si>
  <si>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</si>
  <si>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</si>
  <si>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</si>
  <si>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</si>
  <si>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</si>
  <si>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</si>
  <si>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</si>
  <si>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</si>
  <si>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</si>
  <si>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</si>
  <si>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</si>
  <si>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</si>
  <si>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</si>
  <si>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</si>
  <si>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</si>
  <si>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</si>
  <si>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</si>
  <si>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</si>
  <si>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</si>
  <si>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</si>
  <si>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</si>
  <si>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</si>
  <si>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</si>
  <si>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</si>
  <si>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</si>
  <si>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</si>
  <si>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</si>
  <si>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</si>
  <si>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</si>
  <si>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</si>
  <si>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</si>
  <si>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</si>
  <si>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</si>
  <si>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</si>
  <si>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</si>
  <si>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</si>
  <si>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</si>
  <si>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</si>
  <si>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</si>
  <si>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</si>
  <si>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</si>
  <si>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</si>
  <si>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</si>
  <si>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</si>
  <si>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</si>
  <si>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</si>
  <si>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</si>
  <si>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</si>
  <si>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</si>
  <si>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</si>
  <si>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</si>
  <si>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</si>
  <si>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</si>
  <si>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</si>
  <si>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</si>
  <si>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</si>
  <si>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</si>
  <si>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</si>
  <si>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</si>
  <si>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</si>
  <si>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</si>
  <si>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</si>
  <si>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</si>
  <si>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</si>
  <si>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</si>
  <si>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</si>
  <si>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</si>
  <si>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</si>
  <si>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</si>
  <si>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</si>
  <si>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</si>
  <si>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</si>
  <si>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</si>
  <si>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</si>
  <si>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</si>
  <si>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</si>
  <si>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</si>
  <si>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</si>
  <si>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</si>
  <si>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</si>
  <si>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</si>
  <si>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</si>
  <si>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</si>
  <si>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</si>
  <si>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</si>
  <si>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</si>
  <si>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</si>
  <si>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</si>
  <si>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</si>
  <si>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</si>
  <si>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</si>
  <si>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</si>
  <si>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</si>
  <si>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</si>
  <si>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</si>
  <si>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</si>
  <si>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</si>
  <si>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</si>
  <si>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</si>
  <si>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</si>
  <si>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</si>
  <si>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</si>
  <si>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</si>
  <si>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</si>
  <si>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</si>
  <si>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</si>
  <si>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</si>
  <si>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</si>
  <si>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</si>
  <si>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</si>
  <si>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</si>
  <si>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</si>
  <si>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</si>
  <si>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</si>
  <si>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</si>
  <si>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</si>
  <si>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</si>
  <si>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</si>
  <si>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</si>
  <si>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</si>
  <si>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</si>
  <si>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</si>
  <si>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</si>
  <si>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</si>
  <si>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</si>
  <si>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</si>
  <si>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</si>
  <si>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</si>
  <si>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</si>
  <si>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</si>
  <si>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</si>
  <si>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</si>
  <si>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</si>
  <si>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</si>
  <si>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</si>
  <si>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</si>
  <si>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</si>
  <si>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</si>
  <si>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</si>
  <si>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</si>
  <si>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</si>
  <si>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</si>
  <si>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</si>
  <si>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</si>
  <si>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</si>
  <si>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</si>
  <si>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</si>
  <si>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</si>
  <si>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</si>
  <si>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</si>
  <si>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</si>
  <si>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</si>
  <si>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</si>
  <si>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</si>
  <si>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</si>
  <si>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</si>
  <si>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</si>
  <si>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</si>
  <si>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</si>
  <si>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</si>
  <si>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</si>
  <si>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</si>
  <si>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</si>
  <si>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</si>
  <si>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</si>
  <si>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</si>
  <si>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</si>
  <si>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</si>
  <si>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</si>
  <si>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</si>
  <si>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</si>
  <si>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</si>
  <si>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</si>
  <si>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</si>
  <si>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</si>
  <si>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</si>
  <si>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</si>
  <si>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</si>
  <si>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</si>
  <si>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</si>
  <si>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</si>
  <si>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</si>
  <si>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</si>
  <si>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</si>
  <si>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</si>
  <si>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</si>
  <si>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</si>
  <si>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</si>
  <si>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</si>
  <si>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</si>
  <si>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</si>
  <si>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</si>
  <si>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</si>
  <si>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</si>
  <si>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</si>
  <si>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</si>
  <si>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</si>
  <si>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</si>
  <si>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</si>
  <si>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</si>
  <si>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</si>
  <si>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</si>
  <si>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</si>
  <si>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</si>
  <si>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</si>
  <si>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</si>
  <si>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</si>
  <si>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</si>
  <si>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</si>
  <si>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</si>
  <si>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</si>
  <si>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</si>
  <si>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</si>
  <si>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</si>
  <si>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</si>
  <si>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</si>
  <si>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</si>
  <si>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</si>
  <si>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</si>
  <si>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</si>
  <si>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</si>
  <si>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</si>
  <si>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</si>
  <si>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</si>
  <si>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</si>
  <si>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</si>
  <si>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</si>
  <si>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</si>
  <si>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</si>
  <si>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</si>
  <si>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</si>
  <si>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</si>
  <si>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</si>
  <si>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</si>
  <si>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</si>
  <si>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</si>
  <si>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</si>
  <si>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</si>
  <si>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</si>
  <si>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</si>
  <si>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</si>
  <si>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</si>
  <si>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</si>
  <si>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</si>
  <si>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</si>
  <si>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</si>
  <si>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</si>
  <si>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</si>
  <si>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</si>
  <si>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</si>
  <si>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</si>
  <si>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</si>
  <si>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</si>
  <si>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</si>
  <si>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</si>
  <si>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</si>
  <si>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</si>
  <si>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</si>
  <si>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</si>
  <si>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</si>
  <si>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</si>
  <si>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</si>
  <si>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</si>
  <si>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</si>
  <si>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</si>
  <si>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</si>
  <si>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</si>
  <si>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</si>
  <si>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</si>
  <si>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</si>
  <si>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</si>
  <si>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</si>
  <si>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</si>
  <si>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</si>
  <si>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</si>
  <si>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</si>
  <si>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</si>
  <si>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</si>
  <si>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</si>
  <si>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</si>
  <si>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</si>
  <si>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</si>
  <si>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</si>
  <si>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</si>
  <si>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</si>
  <si>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</si>
  <si>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</si>
  <si>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</si>
  <si>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</si>
  <si>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</si>
  <si>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</si>
  <si>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</si>
  <si>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</si>
  <si>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</si>
  <si>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</si>
  <si>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</si>
  <si>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</si>
  <si>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</si>
  <si>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</si>
  <si>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</si>
  <si>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</si>
  <si>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</si>
  <si>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</si>
  <si>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</si>
  <si>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</si>
  <si>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</si>
  <si>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</si>
  <si>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</si>
  <si>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</si>
  <si>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</si>
  <si>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</si>
  <si>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</si>
  <si>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</si>
  <si>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</si>
  <si>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</si>
  <si>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</si>
  <si>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</si>
  <si>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</si>
  <si>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</si>
  <si>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</si>
  <si>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</si>
  <si>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</si>
  <si>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</si>
  <si>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</si>
  <si>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</si>
  <si>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</si>
  <si>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</si>
  <si>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</si>
  <si>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</si>
  <si>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</si>
  <si>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</si>
  <si>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</si>
  <si>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</si>
  <si>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</si>
  <si>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</si>
  <si>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</si>
  <si>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</si>
  <si>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</si>
  <si>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</si>
  <si>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</si>
  <si>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</si>
  <si>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</si>
  <si>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</si>
  <si>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</si>
  <si>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</si>
  <si>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</si>
  <si>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</si>
  <si>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</si>
  <si>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</si>
  <si>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</si>
  <si>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</si>
  <si>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</si>
  <si>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</si>
  <si>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</si>
  <si>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</si>
  <si>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</si>
  <si>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</si>
  <si>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</si>
  <si>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</si>
  <si>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</si>
  <si>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</si>
  <si>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</si>
  <si>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</si>
  <si>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</si>
  <si>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</si>
  <si>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</si>
  <si>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</si>
  <si>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</si>
  <si>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</si>
  <si>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</si>
  <si>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</si>
  <si>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</si>
  <si>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</si>
  <si>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</si>
  <si>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</si>
  <si>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</si>
  <si>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</si>
  <si>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</si>
  <si>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</si>
  <si>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</si>
  <si>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</si>
  <si>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</si>
  <si>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</si>
  <si>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</si>
  <si>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</si>
  <si>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</si>
  <si>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</si>
  <si>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</si>
  <si>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</si>
  <si>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</si>
  <si>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</si>
  <si>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</si>
  <si>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</si>
  <si>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</si>
  <si>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</si>
  <si>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</si>
  <si>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</si>
  <si>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</si>
  <si>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</si>
  <si>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</si>
  <si>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</si>
  <si>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</si>
  <si>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</si>
  <si>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</si>
  <si>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</si>
  <si>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</si>
  <si>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</si>
  <si>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</si>
  <si>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</si>
  <si>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</si>
  <si>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</si>
  <si>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</si>
  <si>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</si>
  <si>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</si>
  <si>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</si>
  <si>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</si>
  <si>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</si>
  <si>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</si>
  <si>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</si>
  <si>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</si>
  <si>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</si>
  <si>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</si>
  <si>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</si>
  <si>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</si>
  <si>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</si>
  <si>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</si>
  <si>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</si>
  <si>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</si>
  <si>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</si>
  <si>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</si>
  <si>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</si>
  <si>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</si>
  <si>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</si>
  <si>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</si>
  <si>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</si>
  <si>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</si>
  <si>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</si>
  <si>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</si>
  <si>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</si>
  <si>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</si>
  <si>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</si>
  <si>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</si>
  <si>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</si>
  <si>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</si>
  <si>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</si>
  <si>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</si>
  <si>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</si>
  <si>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</si>
  <si>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</si>
  <si>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</si>
  <si>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</si>
  <si>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</si>
  <si>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</si>
  <si>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</si>
  <si>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</si>
  <si>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</si>
  <si>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</si>
  <si>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</si>
  <si>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</si>
  <si>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</si>
  <si>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</si>
  <si>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</si>
  <si>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</si>
  <si>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</si>
  <si>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</si>
  <si>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</si>
  <si>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</si>
  <si>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</si>
  <si>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</si>
  <si>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</si>
  <si>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</si>
  <si>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</si>
  <si>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</si>
  <si>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</si>
  <si>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</si>
  <si>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</si>
  <si>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</si>
  <si>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</si>
  <si>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</si>
  <si>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</si>
  <si>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</si>
  <si>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</si>
  <si>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</si>
  <si>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</si>
  <si>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</si>
  <si>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</si>
  <si>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</si>
  <si>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</si>
  <si>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</si>
  <si>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</si>
  <si>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</si>
  <si>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</si>
  <si>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</si>
  <si>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</si>
  <si>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</si>
  <si>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</si>
  <si>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</si>
  <si>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</si>
  <si>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</si>
  <si>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</si>
  <si>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</si>
  <si>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</si>
  <si>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</si>
  <si>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</si>
  <si>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</si>
  <si>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</si>
  <si>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</si>
  <si>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</si>
  <si>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</si>
  <si>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</si>
  <si>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</si>
  <si>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</si>
  <si>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</si>
  <si>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</si>
  <si>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</si>
  <si>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</si>
  <si>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</si>
  <si>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</si>
  <si>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</si>
  <si>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</si>
  <si>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</si>
  <si>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</si>
  <si>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</si>
  <si>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</si>
  <si>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</si>
  <si>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</si>
  <si>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</si>
  <si>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</si>
  <si>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</si>
  <si>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</si>
  <si>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</si>
  <si>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</si>
  <si>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</si>
  <si>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</si>
  <si>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</si>
  <si>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</si>
  <si>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</si>
  <si>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</si>
  <si>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</si>
  <si>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</si>
  <si>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</si>
  <si>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</si>
  <si>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</si>
  <si>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</si>
  <si>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</si>
  <si>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</si>
  <si>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</si>
  <si>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</si>
  <si>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</si>
  <si>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</si>
  <si>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</si>
  <si>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</si>
  <si>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</si>
  <si>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</si>
  <si>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</si>
  <si>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</si>
  <si>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</si>
  <si>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</si>
  <si>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</si>
  <si>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</si>
  <si>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</si>
  <si>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</si>
  <si>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</si>
  <si>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</si>
  <si>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</si>
  <si>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</si>
  <si>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</si>
  <si>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</si>
  <si>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</si>
  <si>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</si>
  <si>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</si>
  <si>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</si>
  <si>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</si>
  <si>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</si>
  <si>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</si>
  <si>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</si>
  <si>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</si>
  <si>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</si>
  <si>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</si>
  <si>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</si>
  <si>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</si>
  <si>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</si>
  <si>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</si>
  <si>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</si>
  <si>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</si>
  <si>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</si>
  <si>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</si>
  <si>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</si>
  <si>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</si>
  <si>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</si>
  <si>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</si>
  <si>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</si>
  <si>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</si>
  <si>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</si>
  <si>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</si>
  <si>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</si>
  <si>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</si>
  <si>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</si>
  <si>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</si>
  <si>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</si>
  <si>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</si>
  <si>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</si>
  <si>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</si>
  <si>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</si>
  <si>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</si>
  <si>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</si>
  <si>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</si>
  <si>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</si>
  <si>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</si>
  <si>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</si>
  <si>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</si>
  <si>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</si>
  <si>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</si>
  <si>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</si>
  <si>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</si>
  <si>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</si>
  <si>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</si>
  <si>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</si>
  <si>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</si>
  <si>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</si>
  <si>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</si>
  <si>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</si>
  <si>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</si>
  <si>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</si>
  <si>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</si>
  <si>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</si>
  <si>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</si>
  <si>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</si>
  <si>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13017</t>
  </si>
  <si>
    <t>KASTERLEE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</si>
  <si>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</si>
  <si>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</si>
  <si>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</si>
  <si>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</si>
  <si>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</si>
  <si>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</si>
  <si>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</si>
  <si>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</si>
  <si>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</si>
  <si>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BGS-0045 RWZI Lichtaart</t>
  </si>
  <si>
    <t>biogas - RWZI</t>
  </si>
  <si>
    <t>niet WKK interne verbrandingsmotor (gas)</t>
  </si>
  <si>
    <t>Hoebenschot 200, 2460 Lichtaart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</si>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</sst>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13017</v>
      </c>
      <c r="B6" s="396"/>
      <c r="C6" s="397"/>
    </row>
    <row r="7" spans="1:7" s="394" customFormat="1" ht="15.75" customHeight="1">
      <c r="A7" s="398" t="str">
        <f>txtMunicipality</f>
        <v>KASTERLEE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13017</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7122</v>
      </c>
      <c r="C9" s="336">
        <v>7667</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3042</v>
      </c>
    </row>
    <row r="15" spans="1:6">
      <c r="A15" s="1251" t="s">
        <v>185</v>
      </c>
      <c r="B15" s="333">
        <v>13682</v>
      </c>
    </row>
    <row r="16" spans="1:6">
      <c r="A16" s="1251" t="s">
        <v>6</v>
      </c>
      <c r="B16" s="333">
        <v>2244</v>
      </c>
    </row>
    <row r="17" spans="1:6">
      <c r="A17" s="1251" t="s">
        <v>7</v>
      </c>
      <c r="B17" s="333">
        <v>237</v>
      </c>
    </row>
    <row r="18" spans="1:6">
      <c r="A18" s="1251" t="s">
        <v>8</v>
      </c>
      <c r="B18" s="333">
        <v>1311</v>
      </c>
    </row>
    <row r="19" spans="1:6">
      <c r="A19" s="1251" t="s">
        <v>9</v>
      </c>
      <c r="B19" s="333">
        <v>1368</v>
      </c>
    </row>
    <row r="20" spans="1:6">
      <c r="A20" s="1251" t="s">
        <v>10</v>
      </c>
      <c r="B20" s="333">
        <v>571</v>
      </c>
    </row>
    <row r="21" spans="1:6">
      <c r="A21" s="1251" t="s">
        <v>11</v>
      </c>
      <c r="B21" s="333">
        <v>9777</v>
      </c>
    </row>
    <row r="22" spans="1:6">
      <c r="A22" s="1251" t="s">
        <v>12</v>
      </c>
      <c r="B22" s="333">
        <v>23837</v>
      </c>
    </row>
    <row r="23" spans="1:6">
      <c r="A23" s="1251" t="s">
        <v>13</v>
      </c>
      <c r="B23" s="333">
        <v>578</v>
      </c>
    </row>
    <row r="24" spans="1:6">
      <c r="A24" s="1251" t="s">
        <v>14</v>
      </c>
      <c r="B24" s="333">
        <v>25</v>
      </c>
    </row>
    <row r="25" spans="1:6">
      <c r="A25" s="1251" t="s">
        <v>15</v>
      </c>
      <c r="B25" s="333">
        <v>2281</v>
      </c>
    </row>
    <row r="26" spans="1:6">
      <c r="A26" s="1251" t="s">
        <v>16</v>
      </c>
      <c r="B26" s="333">
        <v>127</v>
      </c>
    </row>
    <row r="27" spans="1:6">
      <c r="A27" s="1251" t="s">
        <v>17</v>
      </c>
      <c r="B27" s="333">
        <v>599</v>
      </c>
    </row>
    <row r="28" spans="1:6">
      <c r="A28" s="1251" t="s">
        <v>18</v>
      </c>
      <c r="B28" s="333">
        <v>505951</v>
      </c>
    </row>
    <row r="29" spans="1:6">
      <c r="A29" s="1251" t="s">
        <v>925</v>
      </c>
      <c r="B29" s="333">
        <v>259</v>
      </c>
    </row>
    <row r="30" spans="1:6">
      <c r="A30" s="1247" t="s">
        <v>926</v>
      </c>
      <c r="B30" s="1247">
        <v>57</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3</v>
      </c>
      <c r="F35" s="333">
        <v>11589.907051259401</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36919.324307451199</v>
      </c>
      <c r="E38" s="333">
        <v>2</v>
      </c>
      <c r="F38" s="333">
        <v>11168.07559355</v>
      </c>
    </row>
    <row r="39" spans="1:6">
      <c r="A39" s="1251" t="s">
        <v>30</v>
      </c>
      <c r="B39" s="1251" t="s">
        <v>31</v>
      </c>
      <c r="C39" s="333">
        <v>3552</v>
      </c>
      <c r="D39" s="333">
        <v>65898384.454124101</v>
      </c>
      <c r="E39" s="333">
        <v>6925</v>
      </c>
      <c r="F39" s="333">
        <v>30348902.072723299</v>
      </c>
    </row>
    <row r="40" spans="1:6">
      <c r="A40" s="1251" t="s">
        <v>30</v>
      </c>
      <c r="B40" s="1251" t="s">
        <v>29</v>
      </c>
      <c r="C40" s="333">
        <v>0</v>
      </c>
      <c r="D40" s="333">
        <v>0</v>
      </c>
      <c r="E40" s="333">
        <v>0</v>
      </c>
      <c r="F40" s="333">
        <v>0</v>
      </c>
    </row>
    <row r="41" spans="1:6">
      <c r="A41" s="1251" t="s">
        <v>32</v>
      </c>
      <c r="B41" s="1251" t="s">
        <v>33</v>
      </c>
      <c r="C41" s="333">
        <v>42</v>
      </c>
      <c r="D41" s="333">
        <v>1167140.04956939</v>
      </c>
      <c r="E41" s="333">
        <v>118</v>
      </c>
      <c r="F41" s="333">
        <v>1240092.23085705</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4</v>
      </c>
      <c r="F44" s="333">
        <v>34756.5843642404</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15</v>
      </c>
      <c r="D48" s="333">
        <v>895326.09575772495</v>
      </c>
      <c r="E48" s="333">
        <v>20</v>
      </c>
      <c r="F48" s="333">
        <v>284818.27609133697</v>
      </c>
    </row>
    <row r="49" spans="1:6">
      <c r="A49" s="1251" t="s">
        <v>32</v>
      </c>
      <c r="B49" s="1251" t="s">
        <v>40</v>
      </c>
      <c r="C49" s="333">
        <v>0</v>
      </c>
      <c r="D49" s="333">
        <v>0</v>
      </c>
      <c r="E49" s="333">
        <v>0</v>
      </c>
      <c r="F49" s="333">
        <v>0</v>
      </c>
    </row>
    <row r="50" spans="1:6">
      <c r="A50" s="1251" t="s">
        <v>32</v>
      </c>
      <c r="B50" s="1251" t="s">
        <v>41</v>
      </c>
      <c r="C50" s="333">
        <v>6</v>
      </c>
      <c r="D50" s="333">
        <v>1659412.2292774401</v>
      </c>
      <c r="E50" s="333">
        <v>14</v>
      </c>
      <c r="F50" s="333">
        <v>10891162.6454063</v>
      </c>
    </row>
    <row r="51" spans="1:6">
      <c r="A51" s="1251" t="s">
        <v>42</v>
      </c>
      <c r="B51" s="1251" t="s">
        <v>43</v>
      </c>
      <c r="C51" s="333">
        <v>0</v>
      </c>
      <c r="D51" s="333">
        <v>0</v>
      </c>
      <c r="E51" s="333">
        <v>135</v>
      </c>
      <c r="F51" s="333">
        <v>3986465.2330398802</v>
      </c>
    </row>
    <row r="52" spans="1:6">
      <c r="A52" s="1251" t="s">
        <v>42</v>
      </c>
      <c r="B52" s="1251" t="s">
        <v>29</v>
      </c>
      <c r="C52" s="333">
        <v>6</v>
      </c>
      <c r="D52" s="333">
        <v>267330.05939074501</v>
      </c>
      <c r="E52" s="333">
        <v>10</v>
      </c>
      <c r="F52" s="333">
        <v>315717.80396129697</v>
      </c>
    </row>
    <row r="53" spans="1:6">
      <c r="A53" s="1251" t="s">
        <v>44</v>
      </c>
      <c r="B53" s="1251" t="s">
        <v>45</v>
      </c>
      <c r="C53" s="333">
        <v>148</v>
      </c>
      <c r="D53" s="333">
        <v>3332167.7329430599</v>
      </c>
      <c r="E53" s="333">
        <v>286</v>
      </c>
      <c r="F53" s="333">
        <v>1698029.53149836</v>
      </c>
    </row>
    <row r="54" spans="1:6">
      <c r="A54" s="1251" t="s">
        <v>46</v>
      </c>
      <c r="B54" s="1251" t="s">
        <v>47</v>
      </c>
      <c r="C54" s="333">
        <v>0</v>
      </c>
      <c r="D54" s="333">
        <v>0</v>
      </c>
      <c r="E54" s="333">
        <v>1</v>
      </c>
      <c r="F54" s="333">
        <v>756485</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21</v>
      </c>
      <c r="D57" s="333">
        <v>497889.193727609</v>
      </c>
      <c r="E57" s="333">
        <v>134</v>
      </c>
      <c r="F57" s="333">
        <v>3718946.5692921202</v>
      </c>
    </row>
    <row r="58" spans="1:6">
      <c r="A58" s="1251" t="s">
        <v>49</v>
      </c>
      <c r="B58" s="1251" t="s">
        <v>51</v>
      </c>
      <c r="C58" s="333">
        <v>17</v>
      </c>
      <c r="D58" s="333">
        <v>846106.31434045394</v>
      </c>
      <c r="E58" s="333">
        <v>28</v>
      </c>
      <c r="F58" s="333">
        <v>430778.17183369503</v>
      </c>
    </row>
    <row r="59" spans="1:6">
      <c r="A59" s="1251" t="s">
        <v>49</v>
      </c>
      <c r="B59" s="1251" t="s">
        <v>52</v>
      </c>
      <c r="C59" s="333">
        <v>52</v>
      </c>
      <c r="D59" s="333">
        <v>1642481.11523981</v>
      </c>
      <c r="E59" s="333">
        <v>148</v>
      </c>
      <c r="F59" s="333">
        <v>4354132.2541264202</v>
      </c>
    </row>
    <row r="60" spans="1:6">
      <c r="A60" s="1251" t="s">
        <v>49</v>
      </c>
      <c r="B60" s="1251" t="s">
        <v>53</v>
      </c>
      <c r="C60" s="333">
        <v>58</v>
      </c>
      <c r="D60" s="333">
        <v>6010363.3994982</v>
      </c>
      <c r="E60" s="333">
        <v>100</v>
      </c>
      <c r="F60" s="333">
        <v>4998671.7198446803</v>
      </c>
    </row>
    <row r="61" spans="1:6">
      <c r="A61" s="1251" t="s">
        <v>49</v>
      </c>
      <c r="B61" s="1251" t="s">
        <v>54</v>
      </c>
      <c r="C61" s="333">
        <v>144</v>
      </c>
      <c r="D61" s="333">
        <v>8378480.3288299497</v>
      </c>
      <c r="E61" s="333">
        <v>253</v>
      </c>
      <c r="F61" s="333">
        <v>3061128.7582284398</v>
      </c>
    </row>
    <row r="62" spans="1:6">
      <c r="A62" s="1251" t="s">
        <v>49</v>
      </c>
      <c r="B62" s="1251" t="s">
        <v>55</v>
      </c>
      <c r="C62" s="333">
        <v>5</v>
      </c>
      <c r="D62" s="333">
        <v>2583092.5124596902</v>
      </c>
      <c r="E62" s="333">
        <v>12</v>
      </c>
      <c r="F62" s="333">
        <v>492637.67045845202</v>
      </c>
    </row>
    <row r="63" spans="1:6">
      <c r="A63" s="1251" t="s">
        <v>49</v>
      </c>
      <c r="B63" s="1251" t="s">
        <v>29</v>
      </c>
      <c r="C63" s="333">
        <v>85</v>
      </c>
      <c r="D63" s="333">
        <v>4559024.94338449</v>
      </c>
      <c r="E63" s="333">
        <v>95</v>
      </c>
      <c r="F63" s="333">
        <v>5209873.6165482802</v>
      </c>
    </row>
    <row r="64" spans="1:6">
      <c r="A64" s="1251" t="s">
        <v>56</v>
      </c>
      <c r="B64" s="1251" t="s">
        <v>57</v>
      </c>
      <c r="C64" s="333">
        <v>0</v>
      </c>
      <c r="D64" s="333">
        <v>0</v>
      </c>
      <c r="E64" s="333">
        <v>0</v>
      </c>
      <c r="F64" s="333">
        <v>0</v>
      </c>
    </row>
    <row r="65" spans="1:6">
      <c r="A65" s="1251" t="s">
        <v>56</v>
      </c>
      <c r="B65" s="1251" t="s">
        <v>29</v>
      </c>
      <c r="C65" s="333">
        <v>0</v>
      </c>
      <c r="D65" s="333">
        <v>0</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6</v>
      </c>
      <c r="F68" s="333">
        <v>50641.430060025399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98388397</v>
      </c>
      <c r="E73" s="333">
        <v>101761849.88358587</v>
      </c>
      <c r="F73" s="333">
        <v>98614746</v>
      </c>
    </row>
    <row r="74" spans="1:6">
      <c r="A74" s="1251" t="s">
        <v>64</v>
      </c>
      <c r="B74" s="1251" t="s">
        <v>775</v>
      </c>
      <c r="C74" s="1262" t="s">
        <v>776</v>
      </c>
      <c r="D74" s="333">
        <v>6121977.6105385469</v>
      </c>
      <c r="E74" s="333">
        <v>6552691.0451444415</v>
      </c>
      <c r="F74" s="333">
        <v>6295181.689783291</v>
      </c>
    </row>
    <row r="75" spans="1:6">
      <c r="A75" s="1251" t="s">
        <v>65</v>
      </c>
      <c r="B75" s="1251" t="s">
        <v>773</v>
      </c>
      <c r="C75" s="1262" t="s">
        <v>777</v>
      </c>
      <c r="D75" s="333">
        <v>19927790</v>
      </c>
      <c r="E75" s="333">
        <v>20716859.732806277</v>
      </c>
      <c r="F75" s="333">
        <v>20012166</v>
      </c>
    </row>
    <row r="76" spans="1:6">
      <c r="A76" s="1251" t="s">
        <v>65</v>
      </c>
      <c r="B76" s="1251" t="s">
        <v>775</v>
      </c>
      <c r="C76" s="1262" t="s">
        <v>778</v>
      </c>
      <c r="D76" s="333">
        <v>833399.61053854693</v>
      </c>
      <c r="E76" s="333">
        <v>930877.7557174</v>
      </c>
      <c r="F76" s="333">
        <v>877982.68978329096</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428826.77892290626</v>
      </c>
      <c r="C83" s="333">
        <v>395306.43813928444</v>
      </c>
      <c r="D83" s="333">
        <v>399836.62043341796</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1090.2333150273148</v>
      </c>
    </row>
    <row r="91" spans="1:6">
      <c r="A91" s="1251" t="s">
        <v>68</v>
      </c>
      <c r="B91" s="333">
        <v>2639.7753809397418</v>
      </c>
    </row>
    <row r="92" spans="1:6">
      <c r="A92" s="1247" t="s">
        <v>69</v>
      </c>
      <c r="B92" s="336">
        <v>457.07132556492542</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2144</v>
      </c>
    </row>
    <row r="98" spans="1:6">
      <c r="A98" s="1251" t="s">
        <v>72</v>
      </c>
      <c r="B98" s="333">
        <v>12</v>
      </c>
    </row>
    <row r="99" spans="1:6">
      <c r="A99" s="1251" t="s">
        <v>73</v>
      </c>
      <c r="B99" s="333">
        <v>63</v>
      </c>
    </row>
    <row r="100" spans="1:6">
      <c r="A100" s="1251" t="s">
        <v>74</v>
      </c>
      <c r="B100" s="333">
        <v>245</v>
      </c>
    </row>
    <row r="101" spans="1:6">
      <c r="A101" s="1251" t="s">
        <v>75</v>
      </c>
      <c r="B101" s="333">
        <v>193</v>
      </c>
    </row>
    <row r="102" spans="1:6">
      <c r="A102" s="1251" t="s">
        <v>76</v>
      </c>
      <c r="B102" s="333">
        <v>70</v>
      </c>
    </row>
    <row r="103" spans="1:6">
      <c r="A103" s="1251" t="s">
        <v>77</v>
      </c>
      <c r="B103" s="333">
        <v>116</v>
      </c>
    </row>
    <row r="104" spans="1:6">
      <c r="A104" s="1251" t="s">
        <v>78</v>
      </c>
      <c r="B104" s="333">
        <v>3477</v>
      </c>
    </row>
    <row r="105" spans="1:6">
      <c r="A105" s="1247" t="s">
        <v>79</v>
      </c>
      <c r="B105" s="1247">
        <v>4</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13</v>
      </c>
      <c r="C123" s="333">
        <v>1</v>
      </c>
    </row>
    <row r="124" spans="1:6">
      <c r="A124" s="1247" t="s">
        <v>89</v>
      </c>
      <c r="B124" s="333">
        <v>1</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79</v>
      </c>
    </row>
    <row r="130" spans="1:6">
      <c r="A130" s="1251" t="s">
        <v>296</v>
      </c>
      <c r="B130" s="333">
        <v>2</v>
      </c>
    </row>
    <row r="131" spans="1:6">
      <c r="A131" s="1251" t="s">
        <v>297</v>
      </c>
      <c r="B131" s="333">
        <v>1</v>
      </c>
    </row>
    <row r="132" spans="1:6">
      <c r="A132" s="1247" t="s">
        <v>298</v>
      </c>
      <c r="B132" s="336">
        <v>13</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74106.288627502596</v>
      </c>
      <c r="C3" s="43" t="s">
        <v>171</v>
      </c>
      <c r="D3" s="43"/>
      <c r="E3" s="156"/>
      <c r="F3" s="43"/>
      <c r="G3" s="43"/>
      <c r="H3" s="43"/>
      <c r="I3" s="43"/>
      <c r="J3" s="43"/>
      <c r="K3" s="96"/>
    </row>
    <row r="4" spans="1:11">
      <c r="A4" s="364" t="s">
        <v>172</v>
      </c>
      <c r="B4" s="49">
        <f>IF(ISERROR('SEAP template'!B69),0,'SEAP template'!B69)</f>
        <v>5528.0800215319814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0.20451414289683964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756.48500000000001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756.48500000000001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0.20451414289683964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154.71188138931575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30348.9020727233</v>
      </c>
      <c r="C5" s="17">
        <f>IF(ISERROR('Eigen informatie GS &amp; warmtenet'!B57),0,'Eigen informatie GS &amp; warmtenet'!B57)</f>
        <v>0</v>
      </c>
      <c r="D5" s="30">
        <f>(SUM(HH_hh_gas_kWh,HH_rest_gas_kWh)/1000)*0.902</f>
        <v>59440.342777619939</v>
      </c>
      <c r="E5" s="17">
        <f>B46*B57</f>
        <v>3448.4639917922477</v>
      </c>
      <c r="F5" s="17">
        <f>B51*B62</f>
        <v>50388.09353083311</v>
      </c>
      <c r="G5" s="18"/>
      <c r="H5" s="17"/>
      <c r="I5" s="17"/>
      <c r="J5" s="17">
        <f>B50*B61+C50*C61</f>
        <v>0</v>
      </c>
      <c r="K5" s="17"/>
      <c r="L5" s="17"/>
      <c r="M5" s="17"/>
      <c r="N5" s="17">
        <f>B48*B59+C48*C59</f>
        <v>30566.263733796553</v>
      </c>
      <c r="O5" s="17">
        <f>B69*B70*B71</f>
        <v>125.06666666666666</v>
      </c>
      <c r="P5" s="17">
        <f>B77*B78*B79/1000-B77*B78*B79/1000/B80</f>
        <v>514.79999999999995</v>
      </c>
    </row>
    <row r="6" spans="1:16">
      <c r="A6" s="16" t="s">
        <v>633</v>
      </c>
      <c r="B6" s="830">
        <f>kWh_PV_kleiner_dan_10kW</f>
        <v>2639.7753809397418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32988.67745366304</v>
      </c>
      <c r="C8" s="21">
        <f>C5</f>
        <v>0</v>
      </c>
      <c r="D8" s="21">
        <f>D5</f>
        <v>59440.342777619939</v>
      </c>
      <c r="E8" s="21">
        <f>E5</f>
        <v>3448.4639917922477</v>
      </c>
      <c r="F8" s="21">
        <f>F5</f>
        <v>50388.09353083311</v>
      </c>
      <c r="G8" s="21"/>
      <c r="H8" s="21"/>
      <c r="I8" s="21"/>
      <c r="J8" s="21">
        <f>J5</f>
        <v>0</v>
      </c>
      <c r="K8" s="21"/>
      <c r="L8" s="21">
        <f>L5</f>
        <v>0</v>
      </c>
      <c r="M8" s="21">
        <f>M5</f>
        <v>0</v>
      </c>
      <c r="N8" s="21">
        <f>N5</f>
        <v>30566.263733796553</v>
      </c>
      <c r="O8" s="21">
        <f>O5</f>
        <v>125.06666666666666</v>
      </c>
      <c r="P8" s="21">
        <f>P5</f>
        <v>514.79999999999995</v>
      </c>
    </row>
    <row r="9" spans="1:16">
      <c r="B9" s="19"/>
      <c r="C9" s="19"/>
      <c r="D9" s="260"/>
      <c r="E9" s="19"/>
      <c r="F9" s="19"/>
      <c r="G9" s="19"/>
      <c r="H9" s="19"/>
      <c r="I9" s="19"/>
      <c r="J9" s="19"/>
      <c r="K9" s="19"/>
      <c r="L9" s="19"/>
      <c r="M9" s="19"/>
      <c r="N9" s="19"/>
      <c r="O9" s="19"/>
      <c r="P9" s="19"/>
    </row>
    <row r="10" spans="1:16">
      <c r="A10" s="24" t="s">
        <v>215</v>
      </c>
      <c r="B10" s="25">
        <f ca="1">'EF ele_warmte'!B12</f>
        <v>0.20451414289683964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6746.6510947361949</v>
      </c>
      <c r="C12" s="23">
        <f ca="1">C10*C8</f>
        <v>0</v>
      </c>
      <c r="D12" s="23">
        <f>D8*D10</f>
        <v>12006.949241079228</v>
      </c>
      <c r="E12" s="23">
        <f>E10*E8</f>
        <v>782.8013261368402</v>
      </c>
      <c r="F12" s="23">
        <f>F10*F8</f>
        <v>13453.62097273244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2144</v>
      </c>
      <c r="C18" s="167" t="s">
        <v>111</v>
      </c>
      <c r="D18" s="229"/>
      <c r="E18" s="15"/>
    </row>
    <row r="19" spans="1:7">
      <c r="A19" s="172" t="s">
        <v>72</v>
      </c>
      <c r="B19" s="37">
        <f>aantalw2001_ander</f>
        <v>12</v>
      </c>
      <c r="C19" s="167" t="s">
        <v>111</v>
      </c>
      <c r="D19" s="230"/>
      <c r="E19" s="15"/>
    </row>
    <row r="20" spans="1:7">
      <c r="A20" s="172" t="s">
        <v>73</v>
      </c>
      <c r="B20" s="37">
        <f>aantalw2001_propaan</f>
        <v>63</v>
      </c>
      <c r="C20" s="168">
        <f>IF(ISERROR(B20/SUM($B$20,$B$21,$B$22)*100),0,B20/SUM($B$20,$B$21,$B$22)*100)</f>
        <v>12.574850299401197</v>
      </c>
      <c r="D20" s="230"/>
      <c r="E20" s="15"/>
    </row>
    <row r="21" spans="1:7">
      <c r="A21" s="172" t="s">
        <v>74</v>
      </c>
      <c r="B21" s="37">
        <f>aantalw2001_elektriciteit</f>
        <v>245</v>
      </c>
      <c r="C21" s="168">
        <f>IF(ISERROR(B21/SUM($B$20,$B$21,$B$22)*100),0,B21/SUM($B$20,$B$21,$B$22)*100)</f>
        <v>48.902195608782435</v>
      </c>
      <c r="D21" s="230"/>
      <c r="E21" s="15"/>
    </row>
    <row r="22" spans="1:7">
      <c r="A22" s="172" t="s">
        <v>75</v>
      </c>
      <c r="B22" s="37">
        <f>aantalw2001_hout</f>
        <v>193</v>
      </c>
      <c r="C22" s="168">
        <f>IF(ISERROR(B22/SUM($B$20,$B$21,$B$22)*100),0,B22/SUM($B$20,$B$21,$B$22)*100)</f>
        <v>38.522954091816366</v>
      </c>
      <c r="D22" s="230"/>
      <c r="E22" s="15"/>
    </row>
    <row r="23" spans="1:7">
      <c r="A23" s="172" t="s">
        <v>76</v>
      </c>
      <c r="B23" s="37">
        <f>aantalw2001_niet_gespec</f>
        <v>70</v>
      </c>
      <c r="C23" s="167" t="s">
        <v>111</v>
      </c>
      <c r="D23" s="229"/>
      <c r="E23" s="15"/>
    </row>
    <row r="24" spans="1:7">
      <c r="A24" s="172" t="s">
        <v>77</v>
      </c>
      <c r="B24" s="37">
        <f>aantalw2001_steenkool</f>
        <v>116</v>
      </c>
      <c r="C24" s="167" t="s">
        <v>111</v>
      </c>
      <c r="D24" s="230"/>
      <c r="E24" s="15"/>
    </row>
    <row r="25" spans="1:7">
      <c r="A25" s="172" t="s">
        <v>78</v>
      </c>
      <c r="B25" s="37">
        <f>aantalw2001_stookolie</f>
        <v>3477</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7122</v>
      </c>
      <c r="C28" s="36"/>
      <c r="D28" s="229"/>
    </row>
    <row r="29" spans="1:7" s="15" customFormat="1">
      <c r="A29" s="231" t="s">
        <v>714</v>
      </c>
      <c r="B29" s="37">
        <f>SUM(HH_hh_gas_aantal,HH_rest_gas_aantal)</f>
        <v>3552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3552</v>
      </c>
      <c r="C32" s="168">
        <f>IF(ISERROR(B32/SUM($B$32,$B$34,$B$35,$B$36,$B$38,$B$39)*100),0,B32/SUM($B$32,$B$34,$B$35,$B$36,$B$38,$B$39)*100)</f>
        <v>50.063424947145876</v>
      </c>
      <c r="D32" s="234"/>
      <c r="G32" s="15"/>
    </row>
    <row r="33" spans="1:7">
      <c r="A33" s="172" t="s">
        <v>72</v>
      </c>
      <c r="B33" s="34" t="s">
        <v>111</v>
      </c>
      <c r="C33" s="168"/>
      <c r="D33" s="234"/>
      <c r="G33" s="15"/>
    </row>
    <row r="34" spans="1:7">
      <c r="A34" s="172" t="s">
        <v>73</v>
      </c>
      <c r="B34" s="33">
        <f>IF((($B$28-$B$32-$B$39-$B$77-$B$38)*C20/100)&lt;0,0,($B$28-$B$32-$B$39-$B$77-$B$38)*C20/100)</f>
        <v>167.64790419161673</v>
      </c>
      <c r="C34" s="168">
        <f>IF(ISERROR(B34/SUM($B$32,$B$34,$B$35,$B$36,$B$38,$B$39)*100),0,B34/SUM($B$32,$B$34,$B$35,$B$36,$B$38,$B$39)*100)</f>
        <v>2.3629021027712014</v>
      </c>
      <c r="D34" s="234"/>
      <c r="G34" s="15"/>
    </row>
    <row r="35" spans="1:7">
      <c r="A35" s="172" t="s">
        <v>74</v>
      </c>
      <c r="B35" s="33">
        <f>IF((($B$28-$B$32-$B$39-$B$77-$B$38)*C21/100)&lt;0,0,($B$28-$B$32-$B$39-$B$77-$B$38)*C21/100)</f>
        <v>651.96407185628732</v>
      </c>
      <c r="C35" s="168">
        <f>IF(ISERROR(B35/SUM($B$32,$B$34,$B$35,$B$36,$B$38,$B$39)*100),0,B35/SUM($B$32,$B$34,$B$35,$B$36,$B$38,$B$39)*100)</f>
        <v>9.1890637329991165</v>
      </c>
      <c r="D35" s="234"/>
      <c r="G35" s="15"/>
    </row>
    <row r="36" spans="1:7">
      <c r="A36" s="172" t="s">
        <v>75</v>
      </c>
      <c r="B36" s="33">
        <f>IF((($B$28-$B$32-$B$39-$B$77-$B$38)*C22/100)&lt;0,0,($B$28-$B$32-$B$39-$B$77-$B$38)*C22/100)</f>
        <v>513.5880239520958</v>
      </c>
      <c r="C36" s="168">
        <f>IF(ISERROR(B36/SUM($B$32,$B$34,$B$35,$B$36,$B$38,$B$39)*100),0,B36/SUM($B$32,$B$34,$B$35,$B$36,$B$38,$B$39)*100)</f>
        <v>7.2387318386482855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2209.8000000000002</v>
      </c>
      <c r="C39" s="168">
        <f>IF(ISERROR(B39/SUM($B$32,$B$34,$B$35,$B$36,$B$38,$B$39)*100),0,B39/SUM($B$32,$B$34,$B$35,$B$36,$B$38,$B$39)*100)</f>
        <v>31.145877378435522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3552</v>
      </c>
      <c r="C44" s="34" t="s">
        <v>111</v>
      </c>
      <c r="D44" s="175"/>
    </row>
    <row r="45" spans="1:7">
      <c r="A45" s="172" t="s">
        <v>72</v>
      </c>
      <c r="B45" s="33" t="str">
        <f t="shared" si="0"/>
        <v>-</v>
      </c>
      <c r="C45" s="34" t="s">
        <v>111</v>
      </c>
      <c r="D45" s="175"/>
    </row>
    <row r="46" spans="1:7">
      <c r="A46" s="172" t="s">
        <v>73</v>
      </c>
      <c r="B46" s="33">
        <f t="shared" si="0"/>
        <v>167.64790419161673</v>
      </c>
      <c r="C46" s="34" t="s">
        <v>111</v>
      </c>
      <c r="D46" s="175"/>
    </row>
    <row r="47" spans="1:7">
      <c r="A47" s="172" t="s">
        <v>74</v>
      </c>
      <c r="B47" s="33">
        <f t="shared" si="0"/>
        <v>651.96407185628732</v>
      </c>
      <c r="C47" s="34" t="s">
        <v>111</v>
      </c>
      <c r="D47" s="175"/>
    </row>
    <row r="48" spans="1:7">
      <c r="A48" s="172" t="s">
        <v>75</v>
      </c>
      <c r="B48" s="33">
        <f t="shared" si="0"/>
        <v>513.5880239520958</v>
      </c>
      <c r="C48" s="33">
        <f>B48*10</f>
        <v>5135.8802395209577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2209.8000000000002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22266.16876033209</v>
      </c>
      <c r="C5" s="17">
        <f>IF(ISERROR('Eigen informatie GS &amp; warmtenet'!B58),0,'Eigen informatie GS &amp; warmtenet'!B58)</f>
        <v>0</v>
      </c>
      <c r="D5" s="30">
        <f>SUM(D6:D12)</f>
        <v>22114.728902347142</v>
      </c>
      <c r="E5" s="17">
        <f>SUM(E6:E12)</f>
        <v>546.45797121100497</v>
      </c>
      <c r="F5" s="17">
        <f>SUM(F6:F12)</f>
        <v>4482.8073767075002</v>
      </c>
      <c r="G5" s="18"/>
      <c r="H5" s="17"/>
      <c r="I5" s="17"/>
      <c r="J5" s="17">
        <f>SUM(J6:J12)</f>
        <v>0</v>
      </c>
      <c r="K5" s="17"/>
      <c r="L5" s="17"/>
      <c r="M5" s="17"/>
      <c r="N5" s="17">
        <f>SUM(N6:N12)</f>
        <v>1035.7759924292882</v>
      </c>
      <c r="O5" s="17">
        <f>B38*B39*B40</f>
        <v>3.1266666666666669</v>
      </c>
      <c r="P5" s="17">
        <f>B46*B47*B48/1000-B46*B47*B48/1000/B49</f>
        <v>19.066666666666666</v>
      </c>
      <c r="R5" s="32"/>
    </row>
    <row r="6" spans="1:18">
      <c r="A6" s="32" t="s">
        <v>54</v>
      </c>
      <c r="B6" s="37">
        <f>B26</f>
        <v>3061.1287582284399</v>
      </c>
      <c r="C6" s="33"/>
      <c r="D6" s="37">
        <f>IF(ISERROR(TER_kantoor_gas_kWh/1000),0,TER_kantoor_gas_kWh/1000)*0.902</f>
        <v>7557.3892566046152</v>
      </c>
      <c r="E6" s="33">
        <f>$C$26*'E Balans VL '!I12/100/3.6*1000000</f>
        <v>107.15154824294812</v>
      </c>
      <c r="F6" s="33">
        <f>$C$26*('E Balans VL '!L12+'E Balans VL '!N12)/100/3.6*1000000</f>
        <v>464.13284153785611</v>
      </c>
      <c r="G6" s="34"/>
      <c r="H6" s="33"/>
      <c r="I6" s="33"/>
      <c r="J6" s="33">
        <f>$C$26*('E Balans VL '!D12+'E Balans VL '!E12)/100/3.6*1000000</f>
        <v>0</v>
      </c>
      <c r="K6" s="33"/>
      <c r="L6" s="33"/>
      <c r="M6" s="33"/>
      <c r="N6" s="33">
        <f>$C$26*'E Balans VL '!Y12/100/3.6*1000000</f>
        <v>23.661567194172804</v>
      </c>
      <c r="O6" s="33"/>
      <c r="P6" s="33"/>
      <c r="R6" s="32"/>
    </row>
    <row r="7" spans="1:18">
      <c r="A7" s="32" t="s">
        <v>53</v>
      </c>
      <c r="B7" s="37">
        <f t="shared" ref="B7:B12" si="0">B27</f>
        <v>4998.6717198446804</v>
      </c>
      <c r="C7" s="33"/>
      <c r="D7" s="37">
        <f>IF(ISERROR(TER_horeca_gas_kWh/1000),0,TER_horeca_gas_kWh/1000)*0.902</f>
        <v>5421.3477863473763</v>
      </c>
      <c r="E7" s="33">
        <f>$C$27*'E Balans VL '!I9/100/3.6*1000000</f>
        <v>281.99155114586443</v>
      </c>
      <c r="F7" s="33">
        <f>$C$27*('E Balans VL '!L9+'E Balans VL '!N9)/100/3.6*1000000</f>
        <v>870.79627660141728</v>
      </c>
      <c r="G7" s="34"/>
      <c r="H7" s="33"/>
      <c r="I7" s="33"/>
      <c r="J7" s="33">
        <f>$C$27*('E Balans VL '!D9+'E Balans VL '!E9)/100/3.6*1000000</f>
        <v>0</v>
      </c>
      <c r="K7" s="33"/>
      <c r="L7" s="33"/>
      <c r="M7" s="33"/>
      <c r="N7" s="33">
        <f>$C$27*'E Balans VL '!Y9/100/3.6*1000000</f>
        <v>0</v>
      </c>
      <c r="O7" s="33"/>
      <c r="P7" s="33"/>
      <c r="R7" s="32"/>
    </row>
    <row r="8" spans="1:18">
      <c r="A8" s="6" t="s">
        <v>52</v>
      </c>
      <c r="B8" s="37">
        <f t="shared" si="0"/>
        <v>4354.1322541264199</v>
      </c>
      <c r="C8" s="33"/>
      <c r="D8" s="37">
        <f>IF(ISERROR(TER_handel_gas_kWh/1000),0,TER_handel_gas_kWh/1000)*0.902</f>
        <v>1481.5179659463085</v>
      </c>
      <c r="E8" s="33">
        <f>$C$28*'E Balans VL '!I13/100/3.6*1000000</f>
        <v>22.353672619263925</v>
      </c>
      <c r="F8" s="33">
        <f>$C$28*('E Balans VL '!L13+'E Balans VL '!N13)/100/3.6*1000000</f>
        <v>671.33991533655376</v>
      </c>
      <c r="G8" s="34"/>
      <c r="H8" s="33"/>
      <c r="I8" s="33"/>
      <c r="J8" s="33">
        <f>$C$28*('E Balans VL '!D13+'E Balans VL '!E13)/100/3.6*1000000</f>
        <v>0</v>
      </c>
      <c r="K8" s="33"/>
      <c r="L8" s="33"/>
      <c r="M8" s="33"/>
      <c r="N8" s="33">
        <f>$C$28*'E Balans VL '!Y13/100/3.6*1000000</f>
        <v>2.0364808045931881</v>
      </c>
      <c r="O8" s="33"/>
      <c r="P8" s="33"/>
      <c r="R8" s="32"/>
    </row>
    <row r="9" spans="1:18">
      <c r="A9" s="32" t="s">
        <v>51</v>
      </c>
      <c r="B9" s="37">
        <f t="shared" si="0"/>
        <v>430.77817183369501</v>
      </c>
      <c r="C9" s="33"/>
      <c r="D9" s="37">
        <f>IF(ISERROR(TER_gezond_gas_kWh/1000),0,TER_gezond_gas_kWh/1000)*0.902</f>
        <v>763.18789553508952</v>
      </c>
      <c r="E9" s="33">
        <f>$C$29*'E Balans VL '!I10/100/3.6*1000000</f>
        <v>0.17855448433287938</v>
      </c>
      <c r="F9" s="33">
        <f>$C$29*('E Balans VL '!L10+'E Balans VL '!N10)/100/3.6*1000000</f>
        <v>106.09448553953153</v>
      </c>
      <c r="G9" s="34"/>
      <c r="H9" s="33"/>
      <c r="I9" s="33"/>
      <c r="J9" s="33">
        <f>$C$29*('E Balans VL '!D10+'E Balans VL '!E10)/100/3.6*1000000</f>
        <v>0</v>
      </c>
      <c r="K9" s="33"/>
      <c r="L9" s="33"/>
      <c r="M9" s="33"/>
      <c r="N9" s="33">
        <f>$C$29*'E Balans VL '!Y10/100/3.6*1000000</f>
        <v>3.7229896345164506</v>
      </c>
      <c r="O9" s="33"/>
      <c r="P9" s="33"/>
      <c r="R9" s="32"/>
    </row>
    <row r="10" spans="1:18">
      <c r="A10" s="32" t="s">
        <v>50</v>
      </c>
      <c r="B10" s="37">
        <f t="shared" si="0"/>
        <v>3718.9465692921203</v>
      </c>
      <c r="C10" s="33"/>
      <c r="D10" s="37">
        <f>IF(ISERROR(TER_ander_gas_kWh/1000),0,TER_ander_gas_kWh/1000)*0.902</f>
        <v>449.0960527423033</v>
      </c>
      <c r="E10" s="33">
        <f>$C$30*'E Balans VL '!I14/100/3.6*1000000</f>
        <v>22.670790042848314</v>
      </c>
      <c r="F10" s="33">
        <f>$C$30*('E Balans VL '!L14+'E Balans VL '!N14)/100/3.6*1000000</f>
        <v>985.94367930853537</v>
      </c>
      <c r="G10" s="34"/>
      <c r="H10" s="33"/>
      <c r="I10" s="33"/>
      <c r="J10" s="33">
        <f>$C$30*('E Balans VL '!D14+'E Balans VL '!E14)/100/3.6*1000000</f>
        <v>0</v>
      </c>
      <c r="K10" s="33"/>
      <c r="L10" s="33"/>
      <c r="M10" s="33"/>
      <c r="N10" s="33">
        <f>$C$30*'E Balans VL '!Y14/100/3.6*1000000</f>
        <v>857.13682370134461</v>
      </c>
      <c r="O10" s="33"/>
      <c r="P10" s="33"/>
      <c r="R10" s="32"/>
    </row>
    <row r="11" spans="1:18">
      <c r="A11" s="32" t="s">
        <v>55</v>
      </c>
      <c r="B11" s="37">
        <f t="shared" si="0"/>
        <v>492.63767045845202</v>
      </c>
      <c r="C11" s="33"/>
      <c r="D11" s="37">
        <f>IF(ISERROR(TER_onderwijs_gas_kWh/1000),0,TER_onderwijs_gas_kWh/1000)*0.902</f>
        <v>2329.9494462386406</v>
      </c>
      <c r="E11" s="33">
        <f>$C$31*'E Balans VL '!I11/100/3.6*1000000</f>
        <v>0.37541555680383665</v>
      </c>
      <c r="F11" s="33">
        <f>$C$31*('E Balans VL '!L11+'E Balans VL '!N11)/100/3.6*1000000</f>
        <v>356.49961601139131</v>
      </c>
      <c r="G11" s="34"/>
      <c r="H11" s="33"/>
      <c r="I11" s="33"/>
      <c r="J11" s="33">
        <f>$C$31*('E Balans VL '!D11+'E Balans VL '!E11)/100/3.6*1000000</f>
        <v>0</v>
      </c>
      <c r="K11" s="33"/>
      <c r="L11" s="33"/>
      <c r="M11" s="33"/>
      <c r="N11" s="33">
        <f>$C$31*'E Balans VL '!Y11/100/3.6*1000000</f>
        <v>1.4519209530988753</v>
      </c>
      <c r="O11" s="33"/>
      <c r="P11" s="33"/>
      <c r="R11" s="32"/>
    </row>
    <row r="12" spans="1:18">
      <c r="A12" s="32" t="s">
        <v>261</v>
      </c>
      <c r="B12" s="37">
        <f t="shared" si="0"/>
        <v>5209.8736165482806</v>
      </c>
      <c r="C12" s="33"/>
      <c r="D12" s="37">
        <f>IF(ISERROR(TER_rest_gas_kWh/1000),0,TER_rest_gas_kWh/1000)*0.902</f>
        <v>4112.2404989328106</v>
      </c>
      <c r="E12" s="33">
        <f>$C$32*'E Balans VL '!I8/100/3.6*1000000</f>
        <v>111.73643911894347</v>
      </c>
      <c r="F12" s="33">
        <f>$C$32*('E Balans VL '!L8+'E Balans VL '!N8)/100/3.6*1000000</f>
        <v>1028.0005623722141</v>
      </c>
      <c r="G12" s="34"/>
      <c r="H12" s="33"/>
      <c r="I12" s="33"/>
      <c r="J12" s="33">
        <f>$C$32*('E Balans VL '!D8+'E Balans VL '!E8)/100/3.6*1000000</f>
        <v>0</v>
      </c>
      <c r="K12" s="33"/>
      <c r="L12" s="33"/>
      <c r="M12" s="33"/>
      <c r="N12" s="33">
        <f>$C$32*'E Balans VL '!Y8/100/3.6*1000000</f>
        <v>147.76621014156225</v>
      </c>
      <c r="O12" s="33"/>
      <c r="P12" s="33"/>
      <c r="R12" s="32"/>
    </row>
    <row r="13" spans="1:18">
      <c r="A13" s="16" t="s">
        <v>497</v>
      </c>
      <c r="B13" s="248">
        <f ca="1">'lokale energieproductie'!N90+'lokale energieproductie'!N59</f>
        <v>1341</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-3831.4285714285716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23607.16876033209</v>
      </c>
      <c r="C16" s="21">
        <f ca="1">C5+C13+C14</f>
        <v>0</v>
      </c>
      <c r="D16" s="21">
        <f t="shared" ref="D16:N16" ca="1" si="1">MAX((D5+D13+D14),0)</f>
        <v>22114.728902347142</v>
      </c>
      <c r="E16" s="21">
        <f t="shared" si="1"/>
        <v>546.45797121100497</v>
      </c>
      <c r="F16" s="21">
        <f t="shared" ca="1" si="1"/>
        <v>4482.8073767075002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0.20451414289683964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4827.999885240366</v>
      </c>
      <c r="C20" s="23">
        <f t="shared" ref="C20:P20" ca="1" si="2">C16*C18</f>
        <v>0</v>
      </c>
      <c r="D20" s="23">
        <f t="shared" ca="1" si="2"/>
        <v>4467.1752382741233</v>
      </c>
      <c r="E20" s="23">
        <f t="shared" si="2"/>
        <v>124.04595946489813</v>
      </c>
      <c r="F20" s="23">
        <f t="shared" ca="1" si="2"/>
        <v>1196.9095695809026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3061.1287582284399</v>
      </c>
      <c r="C26" s="39">
        <f>IF(ISERROR(B26*3.6/1000000/'E Balans VL '!Z12*100),0,B26*3.6/1000000/'E Balans VL '!Z12*100)</f>
        <v>6.4416378216992407E-2</v>
      </c>
      <c r="D26" s="238" t="s">
        <v>720</v>
      </c>
      <c r="F26" s="6"/>
    </row>
    <row r="27" spans="1:18">
      <c r="A27" s="232" t="s">
        <v>53</v>
      </c>
      <c r="B27" s="33">
        <f>IF(ISERROR(TER_horeca_ele_kWh/1000),0,TER_horeca_ele_kWh/1000)</f>
        <v>4998.6717198446804</v>
      </c>
      <c r="C27" s="39">
        <f>IF(ISERROR(B27*3.6/1000000/'E Balans VL '!Z9*100),0,B27*3.6/1000000/'E Balans VL '!Z9*100)</f>
        <v>0.42322348838179241</v>
      </c>
      <c r="D27" s="238" t="s">
        <v>720</v>
      </c>
      <c r="F27" s="6"/>
    </row>
    <row r="28" spans="1:18">
      <c r="A28" s="172" t="s">
        <v>52</v>
      </c>
      <c r="B28" s="33">
        <f>IF(ISERROR(TER_handel_ele_kWh/1000),0,TER_handel_ele_kWh/1000)</f>
        <v>4354.1322541264199</v>
      </c>
      <c r="C28" s="39">
        <f>IF(ISERROR(B28*3.6/1000000/'E Balans VL '!Z13*100),0,B28*3.6/1000000/'E Balans VL '!Z13*100)</f>
        <v>0.12054354937023695</v>
      </c>
      <c r="D28" s="238" t="s">
        <v>720</v>
      </c>
      <c r="F28" s="6"/>
    </row>
    <row r="29" spans="1:18">
      <c r="A29" s="232" t="s">
        <v>51</v>
      </c>
      <c r="B29" s="33">
        <f>IF(ISERROR(TER_gezond_ele_kWh/1000),0,TER_gezond_ele_kWh/1000)</f>
        <v>430.77817183369501</v>
      </c>
      <c r="C29" s="39">
        <f>IF(ISERROR(B29*3.6/1000000/'E Balans VL '!Z10*100),0,B29*3.6/1000000/'E Balans VL '!Z10*100)</f>
        <v>5.5996386605544221E-2</v>
      </c>
      <c r="D29" s="238" t="s">
        <v>720</v>
      </c>
      <c r="F29" s="6"/>
    </row>
    <row r="30" spans="1:18">
      <c r="A30" s="232" t="s">
        <v>50</v>
      </c>
      <c r="B30" s="33">
        <f>IF(ISERROR(TER_ander_ele_kWh/1000),0,TER_ander_ele_kWh/1000)</f>
        <v>3718.9465692921203</v>
      </c>
      <c r="C30" s="39">
        <f>IF(ISERROR(B30*3.6/1000000/'E Balans VL '!Z14*100),0,B30*3.6/1000000/'E Balans VL '!Z14*100)</f>
        <v>0.28825246446552183</v>
      </c>
      <c r="D30" s="238" t="s">
        <v>720</v>
      </c>
      <c r="F30" s="6"/>
    </row>
    <row r="31" spans="1:18">
      <c r="A31" s="232" t="s">
        <v>55</v>
      </c>
      <c r="B31" s="33">
        <f>IF(ISERROR(TER_onderwijs_ele_kWh/1000),0,TER_onderwijs_ele_kWh/1000)</f>
        <v>492.63767045845202</v>
      </c>
      <c r="C31" s="39">
        <f>IF(ISERROR(B31*3.6/1000000/'E Balans VL '!Z11*100),0,B31*3.6/1000000/'E Balans VL '!Z11*100)</f>
        <v>9.4249980726963667E-2</v>
      </c>
      <c r="D31" s="238" t="s">
        <v>720</v>
      </c>
    </row>
    <row r="32" spans="1:18">
      <c r="A32" s="232" t="s">
        <v>261</v>
      </c>
      <c r="B32" s="33">
        <f>IF(ISERROR(TER_rest_ele_kWh/1000),0,TER_rest_ele_kWh/1000)</f>
        <v>5209.8736165482806</v>
      </c>
      <c r="C32" s="39">
        <f>IF(ISERROR(B32*3.6/1000000/'E Balans VL '!Z8*100),0,B32*3.6/1000000/'E Balans VL '!Z8*100)</f>
        <v>4.295940871147326E-2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12450.829736718928</v>
      </c>
      <c r="C5" s="17">
        <f>IF(ISERROR('Eigen informatie GS &amp; warmtenet'!B59),0,'Eigen informatie GS &amp; warmtenet'!B59)</f>
        <v>0</v>
      </c>
      <c r="D5" s="30">
        <f>SUM(D6:D15)</f>
        <v>3357.1342938933085</v>
      </c>
      <c r="E5" s="17">
        <f>SUM(E6:E15)</f>
        <v>123.00995476545161</v>
      </c>
      <c r="F5" s="17">
        <f>SUM(F6:F15)</f>
        <v>2787.2721960960421</v>
      </c>
      <c r="G5" s="18"/>
      <c r="H5" s="17"/>
      <c r="I5" s="17"/>
      <c r="J5" s="17">
        <f>SUM(J6:J15)</f>
        <v>47.603678760037582</v>
      </c>
      <c r="K5" s="17"/>
      <c r="L5" s="17"/>
      <c r="M5" s="17"/>
      <c r="N5" s="17">
        <f>SUM(N6:N15)</f>
        <v>256.49567054217175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34.756584364240396</v>
      </c>
      <c r="C8" s="33"/>
      <c r="D8" s="37">
        <f>IF( ISERROR(IND_metaal_Gas_kWH/1000),0,IND_metaal_Gas_kWH/1000)*0.902</f>
        <v>0</v>
      </c>
      <c r="E8" s="33">
        <f>C30*'E Balans VL '!I18/100/3.6*1000000</f>
        <v>0.24422684963503119</v>
      </c>
      <c r="F8" s="33">
        <f>C30*'E Balans VL '!L18/100/3.6*1000000+C30*'E Balans VL '!N18/100/3.6*1000000</f>
        <v>3.8160696171600117</v>
      </c>
      <c r="G8" s="34"/>
      <c r="H8" s="33"/>
      <c r="I8" s="33"/>
      <c r="J8" s="40">
        <f>C30*'E Balans VL '!D18/100/3.6*1000000+C30*'E Balans VL '!E18/100/3.6*1000000</f>
        <v>0.71710324949025528</v>
      </c>
      <c r="K8" s="33"/>
      <c r="L8" s="33"/>
      <c r="M8" s="33"/>
      <c r="N8" s="33">
        <f>C30*'E Balans VL '!Y18/100/3.6*1000000</f>
        <v>0.13027018136369398</v>
      </c>
      <c r="O8" s="33"/>
      <c r="P8" s="33"/>
      <c r="R8" s="32"/>
    </row>
    <row r="9" spans="1:18">
      <c r="A9" s="6" t="s">
        <v>33</v>
      </c>
      <c r="B9" s="37">
        <f t="shared" si="0"/>
        <v>1240.09223085705</v>
      </c>
      <c r="C9" s="33"/>
      <c r="D9" s="37">
        <f>IF( ISERROR(IND_andere_gas_kWh/1000),0,IND_andere_gas_kWh/1000)*0.902</f>
        <v>1052.7603247115896</v>
      </c>
      <c r="E9" s="33">
        <f>C31*'E Balans VL '!I19/100/3.6*1000000</f>
        <v>20.828868178731085</v>
      </c>
      <c r="F9" s="33">
        <f>C31*'E Balans VL '!L19/100/3.6*1000000+C31*'E Balans VL '!N19/100/3.6*1000000</f>
        <v>969.43347570437163</v>
      </c>
      <c r="G9" s="34"/>
      <c r="H9" s="33"/>
      <c r="I9" s="33"/>
      <c r="J9" s="40">
        <f>C31*'E Balans VL '!D19/100/3.6*1000000+C31*'E Balans VL '!E19/100/3.6*1000000</f>
        <v>0.11184537245185563</v>
      </c>
      <c r="K9" s="33"/>
      <c r="L9" s="33"/>
      <c r="M9" s="33"/>
      <c r="N9" s="33">
        <f>C31*'E Balans VL '!Y19/100/3.6*1000000</f>
        <v>91.910729834803575</v>
      </c>
      <c r="O9" s="33"/>
      <c r="P9" s="33"/>
      <c r="R9" s="32"/>
    </row>
    <row r="10" spans="1:18">
      <c r="A10" s="6" t="s">
        <v>41</v>
      </c>
      <c r="B10" s="37">
        <f t="shared" si="0"/>
        <v>10891.162645406301</v>
      </c>
      <c r="C10" s="33"/>
      <c r="D10" s="37">
        <f>IF( ISERROR(IND_voed_gas_kWh/1000),0,IND_voed_gas_kWh/1000)*0.902</f>
        <v>1496.7898308082508</v>
      </c>
      <c r="E10" s="33">
        <f>C32*'E Balans VL '!I20/100/3.6*1000000</f>
        <v>99.366442154267375</v>
      </c>
      <c r="F10" s="33">
        <f>C32*'E Balans VL '!L20/100/3.6*1000000+C32*'E Balans VL '!N20/100/3.6*1000000</f>
        <v>1757.0851903357234</v>
      </c>
      <c r="G10" s="34"/>
      <c r="H10" s="33"/>
      <c r="I10" s="33"/>
      <c r="J10" s="40">
        <f>C32*'E Balans VL '!D20/100/3.6*1000000+C32*'E Balans VL '!E20/100/3.6*1000000</f>
        <v>44.856948365654397</v>
      </c>
      <c r="K10" s="33"/>
      <c r="L10" s="33"/>
      <c r="M10" s="33"/>
      <c r="N10" s="33">
        <f>C32*'E Balans VL '!Y20/100/3.6*1000000</f>
        <v>159.32912157951904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284.818276091337</v>
      </c>
      <c r="C15" s="33"/>
      <c r="D15" s="37">
        <f>IF( ISERROR(IND_rest_gas_kWh/1000),0,IND_rest_gas_kWh/1000)*0.902</f>
        <v>807.58413837346791</v>
      </c>
      <c r="E15" s="33">
        <f>C37*'E Balans VL '!I15/100/3.6*1000000</f>
        <v>2.5704175828181302</v>
      </c>
      <c r="F15" s="33">
        <f>C37*'E Balans VL '!L15/100/3.6*1000000+C37*'E Balans VL '!N15/100/3.6*1000000</f>
        <v>56.93746043878717</v>
      </c>
      <c r="G15" s="34"/>
      <c r="H15" s="33"/>
      <c r="I15" s="33"/>
      <c r="J15" s="40">
        <f>C37*'E Balans VL '!D15/100/3.6*1000000+C37*'E Balans VL '!E15/100/3.6*1000000</f>
        <v>1.9177817724410722</v>
      </c>
      <c r="K15" s="33"/>
      <c r="L15" s="33"/>
      <c r="M15" s="33"/>
      <c r="N15" s="33">
        <f>C37*'E Balans VL '!Y15/100/3.6*1000000</f>
        <v>5.1255489464854032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12450.829736718928</v>
      </c>
      <c r="C18" s="21">
        <f>C5+C16</f>
        <v>0</v>
      </c>
      <c r="D18" s="21">
        <f>MAX((D5+D16),0)</f>
        <v>3357.1342938933085</v>
      </c>
      <c r="E18" s="21">
        <f>MAX((E5+E16),0)</f>
        <v>123.00995476545161</v>
      </c>
      <c r="F18" s="21">
        <f>MAX((F5+F16),0)</f>
        <v>2787.2721960960421</v>
      </c>
      <c r="G18" s="21"/>
      <c r="H18" s="21"/>
      <c r="I18" s="21"/>
      <c r="J18" s="21">
        <f>MAX((J5+J16),0)</f>
        <v>47.603678760037582</v>
      </c>
      <c r="K18" s="21"/>
      <c r="L18" s="21">
        <f>MAX((L5+L16),0)</f>
        <v>0</v>
      </c>
      <c r="M18" s="21"/>
      <c r="N18" s="21">
        <f>MAX((N5+N16),0)</f>
        <v>256.49567054217175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0.20451414289683964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2546.370771959555</v>
      </c>
      <c r="C22" s="23">
        <f ca="1">C18*C20</f>
        <v>0</v>
      </c>
      <c r="D22" s="23">
        <f>D18*D20</f>
        <v>678.14112736644836</v>
      </c>
      <c r="E22" s="23">
        <f>E18*E20</f>
        <v>27.923259731757515</v>
      </c>
      <c r="F22" s="23">
        <f>F18*F20</f>
        <v>744.20167635764324</v>
      </c>
      <c r="G22" s="23"/>
      <c r="H22" s="23"/>
      <c r="I22" s="23"/>
      <c r="J22" s="23">
        <f>J18*J20</f>
        <v>16.851702281053303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34.756584364240396</v>
      </c>
      <c r="C30" s="39">
        <f>IF(ISERROR(B30*3.6/1000000/'E Balans VL '!Z18*100),0,B30*3.6/1000000/'E Balans VL '!Z18*100)</f>
        <v>2.3137670452764423E-3</v>
      </c>
      <c r="D30" s="238" t="s">
        <v>720</v>
      </c>
    </row>
    <row r="31" spans="1:18">
      <c r="A31" s="6" t="s">
        <v>33</v>
      </c>
      <c r="B31" s="37">
        <f>IF( ISERROR(IND_ander_ele_kWh/1000),0,IND_ander_ele_kWh/1000)</f>
        <v>1240.09223085705</v>
      </c>
      <c r="C31" s="39">
        <f>IF(ISERROR(B31*3.6/1000000/'E Balans VL '!Z19*100),0,B31*3.6/1000000/'E Balans VL '!Z19*100)</f>
        <v>5.4968374174290832E-2</v>
      </c>
      <c r="D31" s="238" t="s">
        <v>720</v>
      </c>
    </row>
    <row r="32" spans="1:18">
      <c r="A32" s="172" t="s">
        <v>41</v>
      </c>
      <c r="B32" s="37">
        <f>IF( ISERROR(IND_voed_ele_kWh/1000),0,IND_voed_ele_kWh/1000)</f>
        <v>10891.162645406301</v>
      </c>
      <c r="C32" s="39">
        <f>IF(ISERROR(B32*3.6/1000000/'E Balans VL '!Z20*100),0,B32*3.6/1000000/'E Balans VL '!Z20*100)</f>
        <v>0.36379607505860423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284.818276091337</v>
      </c>
      <c r="C37" s="39">
        <f>IF(ISERROR(B37*3.6/1000000/'E Balans VL '!Z15*100),0,B37*3.6/1000000/'E Balans VL '!Z15*100)</f>
        <v>2.1185839654568445E-3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4302.1830370011767</v>
      </c>
      <c r="C5" s="17">
        <f>'Eigen informatie GS &amp; warmtenet'!B60</f>
        <v>0</v>
      </c>
      <c r="D5" s="30">
        <f>IF(ISERROR(SUM(LB_lb_gas_kWh,LB_rest_gas_kWh,onbekend_gas_kWh)/1000),0,SUM(LB_lb_gas_kWh,LB_rest_gas_kWh,onbekend_gas_kWh)/1000)*0.902</f>
        <v>3246.7470086850922</v>
      </c>
      <c r="E5" s="17">
        <f>B17*'E Balans VL '!I25/3.6*1000000/100</f>
        <v>45.053392148122192</v>
      </c>
      <c r="F5" s="17">
        <f>B17*('E Balans VL '!L25/3.6*1000000+'E Balans VL '!N25/3.6*1000000)/100</f>
        <v>22096.697089980775</v>
      </c>
      <c r="G5" s="18"/>
      <c r="H5" s="17"/>
      <c r="I5" s="17"/>
      <c r="J5" s="17">
        <f>('E Balans VL '!D25+'E Balans VL '!E25)/3.6*1000000*landbouw!B17/100</f>
        <v>384.22350632860542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4302.1830370011767</v>
      </c>
      <c r="C8" s="21">
        <f>C5+C6</f>
        <v>0</v>
      </c>
      <c r="D8" s="21">
        <f>MAX((D5+D6),0)</f>
        <v>3246.7470086850922</v>
      </c>
      <c r="E8" s="21">
        <f>MAX((E5+E6),0)</f>
        <v>45.053392148122192</v>
      </c>
      <c r="F8" s="21">
        <f>MAX((F5+F6),0)</f>
        <v>22096.697089980775</v>
      </c>
      <c r="G8" s="21"/>
      <c r="H8" s="21"/>
      <c r="I8" s="21"/>
      <c r="J8" s="21">
        <f>MAX((J5+J6),0)</f>
        <v>384.22350632860542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0.20451414289683964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879.85727639761819</v>
      </c>
      <c r="C12" s="23">
        <f ca="1">C8*C10</f>
        <v>0</v>
      </c>
      <c r="D12" s="23">
        <f>D8*D10</f>
        <v>655.84289575438868</v>
      </c>
      <c r="E12" s="23">
        <f>E8*E10</f>
        <v>10.227120017623738</v>
      </c>
      <c r="F12" s="23">
        <f>F8*F10</f>
        <v>5899.8181230248674</v>
      </c>
      <c r="G12" s="23"/>
      <c r="H12" s="23"/>
      <c r="I12" s="23"/>
      <c r="J12" s="23">
        <f>J8*J10</f>
        <v>136.01512124032632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0.66218901687413978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604.70115242939335</v>
      </c>
      <c r="C26" s="248">
        <f>B26*'GWP N2O_CH4'!B5</f>
        <v>12698.724201017259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321.24197347992816</v>
      </c>
      <c r="C27" s="248">
        <f>B27*'GWP N2O_CH4'!B5</f>
        <v>6746.0814430784912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19.045457897308278</v>
      </c>
      <c r="C28" s="248">
        <f>B28*'GWP N2O_CH4'!B4</f>
        <v>5904.0919481655665</v>
      </c>
      <c r="D28" s="50"/>
    </row>
    <row r="29" spans="1:4">
      <c r="A29" s="41" t="s">
        <v>278</v>
      </c>
      <c r="B29" s="248">
        <f>B34*'ha_N2O bodem landbouw'!B4</f>
        <v>27.369063716790471</v>
      </c>
      <c r="C29" s="248">
        <f>B29*'GWP N2O_CH4'!B4</f>
        <v>8484.4097522050452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4.5230972361823985E-3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3.4007032345052026E-6</v>
      </c>
      <c r="C5" s="446" t="s">
        <v>212</v>
      </c>
      <c r="D5" s="431">
        <f>SUM(D6:D11)</f>
        <v>1.6620613080898447E-5</v>
      </c>
      <c r="E5" s="431">
        <f>SUM(E6:E11)</f>
        <v>1.689209789790572E-3</v>
      </c>
      <c r="F5" s="444" t="s">
        <v>212</v>
      </c>
      <c r="G5" s="431">
        <f>SUM(G6:G11)</f>
        <v>0.27319109820354498</v>
      </c>
      <c r="H5" s="431">
        <f>SUM(H6:H11)</f>
        <v>5.5345666540660546E-2</v>
      </c>
      <c r="I5" s="446" t="s">
        <v>212</v>
      </c>
      <c r="J5" s="446" t="s">
        <v>212</v>
      </c>
      <c r="K5" s="446" t="s">
        <v>212</v>
      </c>
      <c r="L5" s="446" t="s">
        <v>212</v>
      </c>
      <c r="M5" s="431">
        <f>SUM(M6:M11)</f>
        <v>1.4357592973228448E-2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2.8279286917493544E-6</v>
      </c>
      <c r="C6" s="432"/>
      <c r="D6" s="432">
        <f>vkm_2011_GW_PW*SUMIFS(TableVerdeelsleutelVkm[CNG],TableVerdeelsleutelVkm[Voertuigtype],"Lichte voertuigen")*SUMIFS(TableECFTransport[EnergieConsumptieFactor (PJ per km)],TableECFTransport[Index],CONCATENATE($A6,"_CNG_CNG"))</f>
        <v>1.2190871872063277E-5</v>
      </c>
      <c r="E6" s="434">
        <f>vkm_2011_GW_PW*SUMIFS(TableVerdeelsleutelVkm[LPG],TableVerdeelsleutelVkm[Voertuigtype],"Lichte voertuigen")*SUMIFS(TableECFTransport[EnergieConsumptieFactor (PJ per km)],TableECFTransport[Index],CONCATENATE($A6,"_LPG_LPG"))</f>
        <v>1.2683854166683224E-3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0.15601488832190802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4.1075486995496159E-2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8.6374451338780567E-3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5.7250985301495291E-2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1.9630569495923076E-5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2.4731352952798613E-3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5.7277454275584829E-7</v>
      </c>
      <c r="C8" s="432"/>
      <c r="D8" s="434">
        <f>vkm_2011_NGW_PW*SUMIFS(TableVerdeelsleutelVkm[CNG],TableVerdeelsleutelVkm[Voertuigtype],"Lichte voertuigen")*SUMIFS(TableECFTransport[EnergieConsumptieFactor (PJ per km)],TableECFTransport[Index],CONCATENATE($A8,"_CNG_CNG"))</f>
        <v>4.4297412088351716E-6</v>
      </c>
      <c r="E8" s="434">
        <f>vkm_2011_NGW_PW*SUMIFS(TableVerdeelsleutelVkm[LPG],TableVerdeelsleutelVkm[Voertuigtype],"Lichte voertuigen")*SUMIFS(TableECFTransport[EnergieConsumptieFactor (PJ per km)],TableECFTransport[Index],CONCATENATE($A8,"_LPG_LPG"))</f>
        <v>4.2082437312224971E-4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4.9095603074515604E-2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1.4247323115927779E-2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2.7792157390394085E-3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1.082962150562603E-2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3.2258597406848011E-6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4.6779680503112182E-4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0.94463978736255627</v>
      </c>
      <c r="C14" s="21"/>
      <c r="D14" s="21">
        <f t="shared" ref="D14:M14" si="0">((D5)*10^9/3600)+D12</f>
        <v>4.6168369669162352</v>
      </c>
      <c r="E14" s="21">
        <f t="shared" si="0"/>
        <v>469.22494160849226</v>
      </c>
      <c r="F14" s="21"/>
      <c r="G14" s="21">
        <f t="shared" si="0"/>
        <v>75886.416167651376</v>
      </c>
      <c r="H14" s="21">
        <f t="shared" si="0"/>
        <v>15373.796261294596</v>
      </c>
      <c r="I14" s="21"/>
      <c r="J14" s="21"/>
      <c r="K14" s="21"/>
      <c r="L14" s="21"/>
      <c r="M14" s="21">
        <f t="shared" si="0"/>
        <v>3988.2202703412358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0.20451414289683964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0.19319219645870606</v>
      </c>
      <c r="C18" s="23"/>
      <c r="D18" s="23">
        <f t="shared" ref="D18:M18" si="1">D14*D16</f>
        <v>0.93260106731707959</v>
      </c>
      <c r="E18" s="23">
        <f t="shared" si="1"/>
        <v>106.51406174512775</v>
      </c>
      <c r="F18" s="23"/>
      <c r="G18" s="23">
        <f t="shared" si="1"/>
        <v>20261.673116762919</v>
      </c>
      <c r="H18" s="23">
        <f t="shared" si="1"/>
        <v>3828.0752690623544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5.6306606459610841E-3</v>
      </c>
      <c r="H50" s="322">
        <f t="shared" si="2"/>
        <v>0</v>
      </c>
      <c r="I50" s="322">
        <f t="shared" si="2"/>
        <v>0</v>
      </c>
      <c r="J50" s="322">
        <f t="shared" si="2"/>
        <v>0</v>
      </c>
      <c r="K50" s="322">
        <f t="shared" si="2"/>
        <v>0</v>
      </c>
      <c r="L50" s="322">
        <f t="shared" si="2"/>
        <v>0</v>
      </c>
      <c r="M50" s="322">
        <f t="shared" si="2"/>
        <v>2.4001060106408905E-4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5.6306606459610841E-3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2.4001060106408905E-4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1564.0724016558568</v>
      </c>
      <c r="H54" s="21">
        <f t="shared" si="3"/>
        <v>0</v>
      </c>
      <c r="I54" s="21">
        <f t="shared" si="3"/>
        <v>0</v>
      </c>
      <c r="J54" s="21">
        <f t="shared" si="3"/>
        <v>0</v>
      </c>
      <c r="K54" s="21">
        <f t="shared" si="3"/>
        <v>0</v>
      </c>
      <c r="L54" s="21">
        <f t="shared" si="3"/>
        <v>0</v>
      </c>
      <c r="M54" s="21">
        <f t="shared" si="3"/>
        <v>66.669611406691402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0.20451414289683964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417.60733124211379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1090.2333150273148</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3096.8467065046671</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1341</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5528.0800215319814</v>
      </c>
      <c r="C9" s="578">
        <f t="shared" ref="C9:L9" si="0">SUM(C7:C8)</f>
        <v>0</v>
      </c>
      <c r="D9" s="578">
        <f t="shared" si="0"/>
        <v>0</v>
      </c>
      <c r="E9" s="578">
        <f t="shared" si="0"/>
        <v>0</v>
      </c>
      <c r="F9" s="578">
        <f t="shared" si="0"/>
        <v>0</v>
      </c>
      <c r="G9" s="578">
        <f t="shared" si="0"/>
        <v>0</v>
      </c>
      <c r="H9" s="578">
        <f t="shared" si="0"/>
        <v>0</v>
      </c>
      <c r="I9" s="578">
        <f t="shared" si="0"/>
        <v>0</v>
      </c>
      <c r="J9" s="578">
        <f t="shared" si="0"/>
        <v>3831.4285714285716</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13017</v>
      </c>
      <c r="C63" s="839">
        <v>2460</v>
      </c>
      <c r="D63" s="658" t="s">
        <v>931</v>
      </c>
      <c r="E63" s="658" t="s">
        <v>932</v>
      </c>
      <c r="F63" s="658" t="s">
        <v>933</v>
      </c>
      <c r="G63" s="658" t="s">
        <v>934</v>
      </c>
      <c r="H63" s="658" t="s">
        <v>935</v>
      </c>
      <c r="I63" s="658" t="s">
        <v>936</v>
      </c>
      <c r="J63" s="838">
        <v>38768</v>
      </c>
      <c r="K63" s="838">
        <v>39052</v>
      </c>
      <c r="L63" s="658" t="s">
        <v>937</v>
      </c>
      <c r="M63" s="658">
        <v>298</v>
      </c>
      <c r="N63" s="658">
        <v>1341</v>
      </c>
      <c r="O63" s="658">
        <v>0</v>
      </c>
      <c r="P63" s="658">
        <v>0</v>
      </c>
      <c r="Q63" s="658">
        <v>3831.4285714285716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298</v>
      </c>
      <c r="N88" s="613">
        <f t="shared" ref="N88:W88" si="5">SUM(N63:N87)</f>
        <v>1341</v>
      </c>
      <c r="O88" s="613">
        <f t="shared" si="5"/>
        <v>0</v>
      </c>
      <c r="P88" s="613">
        <f t="shared" si="5"/>
        <v>0</v>
      </c>
      <c r="Q88" s="613">
        <f t="shared" si="5"/>
        <v>3831.4285714285716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298</v>
      </c>
      <c r="N90" s="613">
        <f t="shared" ref="N90:W90" si="7">SUMIF($Z$63:$Z$88,"tertiair",N63:N88)</f>
        <v>1341</v>
      </c>
      <c r="O90" s="613">
        <f t="shared" si="7"/>
        <v>0</v>
      </c>
      <c r="P90" s="613">
        <f t="shared" si="7"/>
        <v>0</v>
      </c>
      <c r="Q90" s="613">
        <f t="shared" si="7"/>
        <v>3831.4285714285716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24363.65376033209</v>
      </c>
      <c r="D10" s="702">
        <f ca="1">tertiair!C16</f>
        <v>0</v>
      </c>
      <c r="E10" s="702">
        <f ca="1">tertiair!D16</f>
        <v>22114.728902347142</v>
      </c>
      <c r="F10" s="702">
        <f>tertiair!E16</f>
        <v>546.45797121100497</v>
      </c>
      <c r="G10" s="702">
        <f ca="1">tertiair!F16</f>
        <v>4482.8073767075002</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3.1266666666666669</v>
      </c>
      <c r="Q10" s="703">
        <f>tertiair!P16</f>
        <v>19.066666666666666</v>
      </c>
      <c r="R10" s="705">
        <f ca="1">SUM(C10:Q10)</f>
        <v>51529.841343931068</v>
      </c>
      <c r="S10" s="67"/>
    </row>
    <row r="11" spans="1:19" s="457" customFormat="1">
      <c r="A11" s="858" t="s">
        <v>226</v>
      </c>
      <c r="B11" s="863"/>
      <c r="C11" s="702">
        <f>huishoudens!B8</f>
        <v>32988.67745366304</v>
      </c>
      <c r="D11" s="702">
        <f>huishoudens!C8</f>
        <v>0</v>
      </c>
      <c r="E11" s="702">
        <f>huishoudens!D8</f>
        <v>59440.342777619939</v>
      </c>
      <c r="F11" s="702">
        <f>huishoudens!E8</f>
        <v>3448.4639917922477</v>
      </c>
      <c r="G11" s="702">
        <f>huishoudens!F8</f>
        <v>50388.09353083311</v>
      </c>
      <c r="H11" s="702">
        <f>huishoudens!G8</f>
        <v>0</v>
      </c>
      <c r="I11" s="702">
        <f>huishoudens!H8</f>
        <v>0</v>
      </c>
      <c r="J11" s="702">
        <f>huishoudens!I8</f>
        <v>0</v>
      </c>
      <c r="K11" s="702">
        <f>huishoudens!J8</f>
        <v>0</v>
      </c>
      <c r="L11" s="702">
        <f>huishoudens!K8</f>
        <v>0</v>
      </c>
      <c r="M11" s="702">
        <f>huishoudens!L8</f>
        <v>0</v>
      </c>
      <c r="N11" s="702">
        <f>huishoudens!M8</f>
        <v>0</v>
      </c>
      <c r="O11" s="702">
        <f>huishoudens!N8</f>
        <v>30566.263733796553</v>
      </c>
      <c r="P11" s="702">
        <f>huishoudens!O8</f>
        <v>125.06666666666666</v>
      </c>
      <c r="Q11" s="703">
        <f>huishoudens!P8</f>
        <v>514.79999999999995</v>
      </c>
      <c r="R11" s="705">
        <f>SUM(C11:Q11)</f>
        <v>177471.70815437156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12450.829736718928</v>
      </c>
      <c r="D13" s="702">
        <f>industrie!C18</f>
        <v>0</v>
      </c>
      <c r="E13" s="702">
        <f>industrie!D18</f>
        <v>3357.1342938933085</v>
      </c>
      <c r="F13" s="702">
        <f>industrie!E18</f>
        <v>123.00995476545161</v>
      </c>
      <c r="G13" s="702">
        <f>industrie!F18</f>
        <v>2787.2721960960421</v>
      </c>
      <c r="H13" s="702">
        <f>industrie!G18</f>
        <v>0</v>
      </c>
      <c r="I13" s="702">
        <f>industrie!H18</f>
        <v>0</v>
      </c>
      <c r="J13" s="702">
        <f>industrie!I18</f>
        <v>0</v>
      </c>
      <c r="K13" s="702">
        <f>industrie!J18</f>
        <v>47.603678760037582</v>
      </c>
      <c r="L13" s="702">
        <f>industrie!K18</f>
        <v>0</v>
      </c>
      <c r="M13" s="702">
        <f>industrie!L18</f>
        <v>0</v>
      </c>
      <c r="N13" s="702">
        <f>industrie!M18</f>
        <v>0</v>
      </c>
      <c r="O13" s="702">
        <f>industrie!N18</f>
        <v>256.49567054217175</v>
      </c>
      <c r="P13" s="702">
        <f>industrie!O18</f>
        <v>0</v>
      </c>
      <c r="Q13" s="703">
        <f>industrie!P18</f>
        <v>0</v>
      </c>
      <c r="R13" s="705">
        <f>SUM(C13:Q13)</f>
        <v>19022.34553077594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69803.160950714053</v>
      </c>
      <c r="D15" s="707">
        <f t="shared" ref="D15:Q15" ca="1" si="0">SUM(D9:D14)</f>
        <v>0</v>
      </c>
      <c r="E15" s="707">
        <f t="shared" ca="1" si="0"/>
        <v>84912.205973860386</v>
      </c>
      <c r="F15" s="707">
        <f t="shared" si="0"/>
        <v>4117.9319177687039</v>
      </c>
      <c r="G15" s="707">
        <f t="shared" ca="1" si="0"/>
        <v>57658.173103636647</v>
      </c>
      <c r="H15" s="707">
        <f t="shared" si="0"/>
        <v>0</v>
      </c>
      <c r="I15" s="707">
        <f t="shared" si="0"/>
        <v>0</v>
      </c>
      <c r="J15" s="707">
        <f t="shared" si="0"/>
        <v>0</v>
      </c>
      <c r="K15" s="707">
        <f t="shared" si="0"/>
        <v>47.603678760037582</v>
      </c>
      <c r="L15" s="707">
        <f t="shared" si="0"/>
        <v>0</v>
      </c>
      <c r="M15" s="707">
        <f t="shared" ca="1" si="0"/>
        <v>0</v>
      </c>
      <c r="N15" s="707">
        <f t="shared" si="0"/>
        <v>0</v>
      </c>
      <c r="O15" s="707">
        <f t="shared" ca="1" si="0"/>
        <v>30822.759404338725</v>
      </c>
      <c r="P15" s="707">
        <f t="shared" si="0"/>
        <v>128.19333333333333</v>
      </c>
      <c r="Q15" s="708">
        <f t="shared" si="0"/>
        <v>533.86666666666667</v>
      </c>
      <c r="R15" s="709">
        <f ca="1">SUM(R9:R14)</f>
        <v>248023.89502907856</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1564.0724016558568</v>
      </c>
      <c r="I18" s="702">
        <f>transport!H54</f>
        <v>0</v>
      </c>
      <c r="J18" s="702">
        <f>transport!I54</f>
        <v>0</v>
      </c>
      <c r="K18" s="702">
        <f>transport!J54</f>
        <v>0</v>
      </c>
      <c r="L18" s="702">
        <f>transport!K54</f>
        <v>0</v>
      </c>
      <c r="M18" s="702">
        <f>transport!L54</f>
        <v>0</v>
      </c>
      <c r="N18" s="702">
        <f>transport!M54</f>
        <v>66.669611406691402</v>
      </c>
      <c r="O18" s="702">
        <f>transport!N54</f>
        <v>0</v>
      </c>
      <c r="P18" s="702">
        <f>transport!O54</f>
        <v>0</v>
      </c>
      <c r="Q18" s="703">
        <f>transport!P54</f>
        <v>0</v>
      </c>
      <c r="R18" s="705">
        <f>SUM(C18:Q18)</f>
        <v>1630.7420130625483</v>
      </c>
      <c r="S18" s="67"/>
    </row>
    <row r="19" spans="1:19" s="457" customFormat="1" ht="15" thickBot="1">
      <c r="A19" s="858" t="s">
        <v>308</v>
      </c>
      <c r="B19" s="863"/>
      <c r="C19" s="711">
        <f>transport!B14</f>
        <v>0.94463978736255627</v>
      </c>
      <c r="D19" s="711">
        <f>transport!C14</f>
        <v>0</v>
      </c>
      <c r="E19" s="711">
        <f>transport!D14</f>
        <v>4.6168369669162352</v>
      </c>
      <c r="F19" s="711">
        <f>transport!E14</f>
        <v>469.22494160849226</v>
      </c>
      <c r="G19" s="711">
        <f>transport!F14</f>
        <v>0</v>
      </c>
      <c r="H19" s="711">
        <f>transport!G14</f>
        <v>75886.416167651376</v>
      </c>
      <c r="I19" s="711">
        <f>transport!H14</f>
        <v>15373.796261294596</v>
      </c>
      <c r="J19" s="711">
        <f>transport!I14</f>
        <v>0</v>
      </c>
      <c r="K19" s="711">
        <f>transport!J14</f>
        <v>0</v>
      </c>
      <c r="L19" s="711">
        <f>transport!K14</f>
        <v>0</v>
      </c>
      <c r="M19" s="711">
        <f>transport!L14</f>
        <v>0</v>
      </c>
      <c r="N19" s="711">
        <f>transport!M14</f>
        <v>3988.2202703412358</v>
      </c>
      <c r="O19" s="711">
        <f>transport!N14</f>
        <v>0</v>
      </c>
      <c r="P19" s="711">
        <f>transport!O14</f>
        <v>0</v>
      </c>
      <c r="Q19" s="712">
        <f>transport!P14</f>
        <v>0</v>
      </c>
      <c r="R19" s="713">
        <f>SUM(C19:Q19)</f>
        <v>95723.219117649976</v>
      </c>
      <c r="S19" s="67"/>
    </row>
    <row r="20" spans="1:19" s="457" customFormat="1" ht="15.75" thickBot="1">
      <c r="A20" s="714" t="s">
        <v>231</v>
      </c>
      <c r="B20" s="866"/>
      <c r="C20" s="861">
        <f>SUM(C17:C19)</f>
        <v>0.94463978736255627</v>
      </c>
      <c r="D20" s="715">
        <f t="shared" ref="D20:R20" si="1">SUM(D17:D19)</f>
        <v>0</v>
      </c>
      <c r="E20" s="715">
        <f t="shared" si="1"/>
        <v>4.6168369669162352</v>
      </c>
      <c r="F20" s="715">
        <f t="shared" si="1"/>
        <v>469.22494160849226</v>
      </c>
      <c r="G20" s="715">
        <f t="shared" si="1"/>
        <v>0</v>
      </c>
      <c r="H20" s="715">
        <f t="shared" si="1"/>
        <v>77450.488569307228</v>
      </c>
      <c r="I20" s="715">
        <f t="shared" si="1"/>
        <v>15373.796261294596</v>
      </c>
      <c r="J20" s="715">
        <f t="shared" si="1"/>
        <v>0</v>
      </c>
      <c r="K20" s="715">
        <f t="shared" si="1"/>
        <v>0</v>
      </c>
      <c r="L20" s="715">
        <f t="shared" si="1"/>
        <v>0</v>
      </c>
      <c r="M20" s="715">
        <f t="shared" si="1"/>
        <v>0</v>
      </c>
      <c r="N20" s="715">
        <f t="shared" si="1"/>
        <v>4054.8898817479271</v>
      </c>
      <c r="O20" s="715">
        <f t="shared" si="1"/>
        <v>0</v>
      </c>
      <c r="P20" s="715">
        <f t="shared" si="1"/>
        <v>0</v>
      </c>
      <c r="Q20" s="716">
        <f t="shared" si="1"/>
        <v>0</v>
      </c>
      <c r="R20" s="717">
        <f t="shared" si="1"/>
        <v>97353.961130712531</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4302.1830370011767</v>
      </c>
      <c r="D22" s="711">
        <f>+landbouw!C8</f>
        <v>0</v>
      </c>
      <c r="E22" s="711">
        <f>+landbouw!D8</f>
        <v>3246.7470086850922</v>
      </c>
      <c r="F22" s="711">
        <f>+landbouw!E8</f>
        <v>45.053392148122192</v>
      </c>
      <c r="G22" s="711">
        <f>+landbouw!F8</f>
        <v>22096.697089980775</v>
      </c>
      <c r="H22" s="711">
        <f>+landbouw!G8</f>
        <v>0</v>
      </c>
      <c r="I22" s="711">
        <f>+landbouw!H8</f>
        <v>0</v>
      </c>
      <c r="J22" s="711">
        <f>+landbouw!I8</f>
        <v>0</v>
      </c>
      <c r="K22" s="711">
        <f>+landbouw!J8</f>
        <v>384.22350632860542</v>
      </c>
      <c r="L22" s="711">
        <f>+landbouw!K8</f>
        <v>0</v>
      </c>
      <c r="M22" s="711">
        <f>+landbouw!L8</f>
        <v>0</v>
      </c>
      <c r="N22" s="711">
        <f>+landbouw!M8</f>
        <v>0</v>
      </c>
      <c r="O22" s="711">
        <f>+landbouw!N8</f>
        <v>0</v>
      </c>
      <c r="P22" s="711">
        <f>+landbouw!O8</f>
        <v>0</v>
      </c>
      <c r="Q22" s="712">
        <f>+landbouw!P8</f>
        <v>0</v>
      </c>
      <c r="R22" s="713">
        <f>SUM(C22:Q22)</f>
        <v>30074.904034143772</v>
      </c>
      <c r="S22" s="67"/>
    </row>
    <row r="23" spans="1:19" s="457" customFormat="1" ht="17.25" thickTop="1" thickBot="1">
      <c r="A23" s="718" t="s">
        <v>116</v>
      </c>
      <c r="B23" s="852"/>
      <c r="C23" s="719">
        <f ca="1">C20+C15+C22</f>
        <v>74106.288627502596</v>
      </c>
      <c r="D23" s="719">
        <f t="shared" ref="D23:Q23" ca="1" si="2">D20+D15+D22</f>
        <v>0</v>
      </c>
      <c r="E23" s="719">
        <f t="shared" ca="1" si="2"/>
        <v>88163.569819512399</v>
      </c>
      <c r="F23" s="719">
        <f t="shared" si="2"/>
        <v>4632.2102515253182</v>
      </c>
      <c r="G23" s="719">
        <f t="shared" ca="1" si="2"/>
        <v>79754.870193617418</v>
      </c>
      <c r="H23" s="719">
        <f t="shared" si="2"/>
        <v>77450.488569307228</v>
      </c>
      <c r="I23" s="719">
        <f t="shared" si="2"/>
        <v>15373.796261294596</v>
      </c>
      <c r="J23" s="719">
        <f t="shared" si="2"/>
        <v>0</v>
      </c>
      <c r="K23" s="719">
        <f t="shared" si="2"/>
        <v>431.82718508864298</v>
      </c>
      <c r="L23" s="719">
        <f t="shared" si="2"/>
        <v>0</v>
      </c>
      <c r="M23" s="719">
        <f t="shared" ca="1" si="2"/>
        <v>0</v>
      </c>
      <c r="N23" s="719">
        <f t="shared" si="2"/>
        <v>4054.8898817479271</v>
      </c>
      <c r="O23" s="719">
        <f t="shared" ca="1" si="2"/>
        <v>30822.759404338725</v>
      </c>
      <c r="P23" s="719">
        <f t="shared" si="2"/>
        <v>128.19333333333333</v>
      </c>
      <c r="Q23" s="720">
        <f t="shared" si="2"/>
        <v>533.86666666666667</v>
      </c>
      <c r="R23" s="721">
        <f ca="1">R20+R15+R22</f>
        <v>375452.7601939349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4982.7117666296817</v>
      </c>
      <c r="D36" s="702">
        <f ca="1">tertiair!C20</f>
        <v>0</v>
      </c>
      <c r="E36" s="702">
        <f ca="1">tertiair!D20</f>
        <v>4467.1752382741233</v>
      </c>
      <c r="F36" s="702">
        <f>tertiair!E20</f>
        <v>124.04595946489813</v>
      </c>
      <c r="G36" s="702">
        <f ca="1">tertiair!F20</f>
        <v>1196.9095695809026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10770.842533949606</v>
      </c>
    </row>
    <row r="37" spans="1:18">
      <c r="A37" s="873" t="s">
        <v>226</v>
      </c>
      <c r="B37" s="880"/>
      <c r="C37" s="702">
        <f ca="1">huishoudens!B12</f>
        <v>6746.6510947361949</v>
      </c>
      <c r="D37" s="702">
        <f ca="1">huishoudens!C12</f>
        <v>0</v>
      </c>
      <c r="E37" s="702">
        <f>huishoudens!D12</f>
        <v>12006.949241079228</v>
      </c>
      <c r="F37" s="702">
        <f>huishoudens!E12</f>
        <v>782.8013261368402</v>
      </c>
      <c r="G37" s="702">
        <f>huishoudens!F12</f>
        <v>13453.62097273244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32990.022634684705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2546.370771959555</v>
      </c>
      <c r="D39" s="702">
        <f ca="1">industrie!C22</f>
        <v>0</v>
      </c>
      <c r="E39" s="702">
        <f>industrie!D22</f>
        <v>678.14112736644836</v>
      </c>
      <c r="F39" s="702">
        <f>industrie!E22</f>
        <v>27.923259731757515</v>
      </c>
      <c r="G39" s="702">
        <f>industrie!F22</f>
        <v>744.20167635764324</v>
      </c>
      <c r="H39" s="702">
        <f>industrie!G22</f>
        <v>0</v>
      </c>
      <c r="I39" s="702">
        <f>industrie!H22</f>
        <v>0</v>
      </c>
      <c r="J39" s="702">
        <f>industrie!I22</f>
        <v>0</v>
      </c>
      <c r="K39" s="702">
        <f>industrie!J22</f>
        <v>16.851702281053303</v>
      </c>
      <c r="L39" s="702">
        <f>industrie!K22</f>
        <v>0</v>
      </c>
      <c r="M39" s="702">
        <f>industrie!L22</f>
        <v>0</v>
      </c>
      <c r="N39" s="702">
        <f>industrie!M22</f>
        <v>0</v>
      </c>
      <c r="O39" s="702">
        <f>industrie!N22</f>
        <v>0</v>
      </c>
      <c r="P39" s="702">
        <f>industrie!O22</f>
        <v>0</v>
      </c>
      <c r="Q39" s="812">
        <f>industrie!P22</f>
        <v>0</v>
      </c>
      <c r="R39" s="906">
        <f ca="1">SUM(C39:Q39)</f>
        <v>4013.4885376964571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14275.733633325432</v>
      </c>
      <c r="D41" s="747">
        <f t="shared" ref="D41:R41" ca="1" si="4">SUM(D35:D40)</f>
        <v>0</v>
      </c>
      <c r="E41" s="747">
        <f t="shared" ca="1" si="4"/>
        <v>17152.2656067198</v>
      </c>
      <c r="F41" s="747">
        <f t="shared" si="4"/>
        <v>934.77054533349587</v>
      </c>
      <c r="G41" s="747">
        <f t="shared" ca="1" si="4"/>
        <v>15394.732218670986</v>
      </c>
      <c r="H41" s="747">
        <f t="shared" si="4"/>
        <v>0</v>
      </c>
      <c r="I41" s="747">
        <f t="shared" si="4"/>
        <v>0</v>
      </c>
      <c r="J41" s="747">
        <f t="shared" si="4"/>
        <v>0</v>
      </c>
      <c r="K41" s="747">
        <f t="shared" si="4"/>
        <v>16.851702281053303</v>
      </c>
      <c r="L41" s="747">
        <f t="shared" si="4"/>
        <v>0</v>
      </c>
      <c r="M41" s="747">
        <f t="shared" ca="1" si="4"/>
        <v>0</v>
      </c>
      <c r="N41" s="747">
        <f t="shared" si="4"/>
        <v>0</v>
      </c>
      <c r="O41" s="747">
        <f t="shared" ca="1" si="4"/>
        <v>0</v>
      </c>
      <c r="P41" s="747">
        <f t="shared" si="4"/>
        <v>0</v>
      </c>
      <c r="Q41" s="748">
        <f t="shared" si="4"/>
        <v>0</v>
      </c>
      <c r="R41" s="749">
        <f t="shared" ca="1" si="4"/>
        <v>47774.353706330767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417.60733124211379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417.60733124211379</v>
      </c>
    </row>
    <row r="45" spans="1:18" ht="15" thickBot="1">
      <c r="A45" s="876" t="s">
        <v>308</v>
      </c>
      <c r="B45" s="886"/>
      <c r="C45" s="711">
        <f ca="1">transport!B18</f>
        <v>0.19319219645870606</v>
      </c>
      <c r="D45" s="711">
        <f>transport!C18</f>
        <v>0</v>
      </c>
      <c r="E45" s="711">
        <f>transport!D18</f>
        <v>0.93260106731707959</v>
      </c>
      <c r="F45" s="711">
        <f>transport!E18</f>
        <v>106.51406174512775</v>
      </c>
      <c r="G45" s="711">
        <f>transport!F18</f>
        <v>0</v>
      </c>
      <c r="H45" s="711">
        <f>transport!G18</f>
        <v>20261.673116762919</v>
      </c>
      <c r="I45" s="711">
        <f>transport!H18</f>
        <v>3828.0752690623544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24197.388240834178</v>
      </c>
    </row>
    <row r="46" spans="1:18" ht="15.75" thickBot="1">
      <c r="A46" s="874" t="s">
        <v>231</v>
      </c>
      <c r="B46" s="887"/>
      <c r="C46" s="747">
        <f t="shared" ref="C46:R46" ca="1" si="5">SUM(C43:C45)</f>
        <v>0.19319219645870606</v>
      </c>
      <c r="D46" s="747">
        <f t="shared" ca="1" si="5"/>
        <v>0</v>
      </c>
      <c r="E46" s="747">
        <f t="shared" si="5"/>
        <v>0.93260106731707959</v>
      </c>
      <c r="F46" s="747">
        <f t="shared" si="5"/>
        <v>106.51406174512775</v>
      </c>
      <c r="G46" s="747">
        <f t="shared" si="5"/>
        <v>0</v>
      </c>
      <c r="H46" s="747">
        <f t="shared" si="5"/>
        <v>20679.280448005033</v>
      </c>
      <c r="I46" s="747">
        <f t="shared" si="5"/>
        <v>3828.0752690623544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24614.995572076292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879.85727639761819</v>
      </c>
      <c r="D48" s="702">
        <f ca="1">+landbouw!C12</f>
        <v>0</v>
      </c>
      <c r="E48" s="702">
        <f>+landbouw!D12</f>
        <v>655.84289575438868</v>
      </c>
      <c r="F48" s="702">
        <f>+landbouw!E12</f>
        <v>10.227120017623738</v>
      </c>
      <c r="G48" s="702">
        <f>+landbouw!F12</f>
        <v>5899.8181230248674</v>
      </c>
      <c r="H48" s="702">
        <f>+landbouw!G12</f>
        <v>0</v>
      </c>
      <c r="I48" s="702">
        <f>+landbouw!H12</f>
        <v>0</v>
      </c>
      <c r="J48" s="702">
        <f>+landbouw!I12</f>
        <v>0</v>
      </c>
      <c r="K48" s="702">
        <f>+landbouw!J12</f>
        <v>136.01512124032632</v>
      </c>
      <c r="L48" s="702">
        <f>+landbouw!K12</f>
        <v>0</v>
      </c>
      <c r="M48" s="702">
        <f>+landbouw!L12</f>
        <v>0</v>
      </c>
      <c r="N48" s="702">
        <f>+landbouw!M12</f>
        <v>0</v>
      </c>
      <c r="O48" s="702">
        <f>+landbouw!N12</f>
        <v>0</v>
      </c>
      <c r="P48" s="702">
        <f>+landbouw!O12</f>
        <v>0</v>
      </c>
      <c r="Q48" s="703">
        <f>+landbouw!P12</f>
        <v>0</v>
      </c>
      <c r="R48" s="745">
        <f ca="1">SUM(C48:Q48)</f>
        <v>7581.7605364348246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15155.784101919509</v>
      </c>
      <c r="D53" s="757">
        <f t="shared" ref="D53:Q53" ca="1" si="6">D41+D46+D48</f>
        <v>0</v>
      </c>
      <c r="E53" s="757">
        <f t="shared" ca="1" si="6"/>
        <v>17809.041103541505</v>
      </c>
      <c r="F53" s="757">
        <f t="shared" si="6"/>
        <v>1051.5117270962473</v>
      </c>
      <c r="G53" s="757">
        <f t="shared" ca="1" si="6"/>
        <v>21294.550341695853</v>
      </c>
      <c r="H53" s="757">
        <f t="shared" si="6"/>
        <v>20679.280448005033</v>
      </c>
      <c r="I53" s="757">
        <f t="shared" si="6"/>
        <v>3828.0752690623544</v>
      </c>
      <c r="J53" s="757">
        <f t="shared" si="6"/>
        <v>0</v>
      </c>
      <c r="K53" s="757">
        <f t="shared" si="6"/>
        <v>152.86682352137962</v>
      </c>
      <c r="L53" s="757">
        <f t="shared" si="6"/>
        <v>0</v>
      </c>
      <c r="M53" s="757">
        <f t="shared" ca="1" si="6"/>
        <v>0</v>
      </c>
      <c r="N53" s="757">
        <f t="shared" si="6"/>
        <v>0</v>
      </c>
      <c r="O53" s="757">
        <f t="shared" ca="1" si="6"/>
        <v>0</v>
      </c>
      <c r="P53" s="757">
        <f>P41+P46+P48</f>
        <v>0</v>
      </c>
      <c r="Q53" s="758">
        <f t="shared" si="6"/>
        <v>0</v>
      </c>
      <c r="R53" s="759">
        <f ca="1">R41+R46+R48</f>
        <v>79971.109814841882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0.20451414289683967</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1090.2333150273148</v>
      </c>
      <c r="C64" s="779">
        <f>'lokale energieproductie'!B4</f>
        <v>1090.2333150273148</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3096.8467065046671</v>
      </c>
      <c r="C66" s="779">
        <f>'lokale energieproductie'!B6</f>
        <v>3096.8467065046671</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1341</v>
      </c>
      <c r="C68" s="778">
        <f>B68*IFERROR(SUM(J68:L68)/SUM(D68:M68),0)</f>
        <v>1341</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3831.4285714285716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5528.0800215319814</v>
      </c>
      <c r="C69" s="787">
        <f>SUM(C64:C68)</f>
        <v>5528.0800215319814</v>
      </c>
      <c r="D69" s="788">
        <f t="shared" ref="D69:M69" si="8">SUM(D67:D68)</f>
        <v>0</v>
      </c>
      <c r="E69" s="788">
        <f t="shared" si="8"/>
        <v>0</v>
      </c>
      <c r="F69" s="788">
        <f t="shared" si="8"/>
        <v>0</v>
      </c>
      <c r="G69" s="788">
        <f t="shared" si="8"/>
        <v>0</v>
      </c>
      <c r="H69" s="788">
        <f t="shared" si="8"/>
        <v>0</v>
      </c>
      <c r="I69" s="788">
        <f t="shared" si="8"/>
        <v>0</v>
      </c>
      <c r="J69" s="788">
        <f t="shared" si="8"/>
        <v>0</v>
      </c>
      <c r="K69" s="788">
        <f t="shared" si="8"/>
        <v>3831.4285714285716</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32988.67745366304</v>
      </c>
      <c r="C4" s="461">
        <f>huishoudens!C8</f>
        <v>0</v>
      </c>
      <c r="D4" s="461">
        <f>huishoudens!D8</f>
        <v>59440.342777619939</v>
      </c>
      <c r="E4" s="461">
        <f>huishoudens!E8</f>
        <v>3448.4639917922477</v>
      </c>
      <c r="F4" s="461">
        <f>huishoudens!F8</f>
        <v>50388.09353083311</v>
      </c>
      <c r="G4" s="461">
        <f>huishoudens!G8</f>
        <v>0</v>
      </c>
      <c r="H4" s="461">
        <f>huishoudens!H8</f>
        <v>0</v>
      </c>
      <c r="I4" s="461">
        <f>huishoudens!I8</f>
        <v>0</v>
      </c>
      <c r="J4" s="461">
        <f>huishoudens!J8</f>
        <v>0</v>
      </c>
      <c r="K4" s="461">
        <f>huishoudens!K8</f>
        <v>0</v>
      </c>
      <c r="L4" s="461">
        <f>huishoudens!L8</f>
        <v>0</v>
      </c>
      <c r="M4" s="461">
        <f>huishoudens!M8</f>
        <v>0</v>
      </c>
      <c r="N4" s="461">
        <f>huishoudens!N8</f>
        <v>30566.263733796553</v>
      </c>
      <c r="O4" s="461">
        <f>huishoudens!O8</f>
        <v>125.06666666666666</v>
      </c>
      <c r="P4" s="462">
        <f>huishoudens!P8</f>
        <v>514.79999999999995</v>
      </c>
      <c r="Q4" s="463">
        <f>SUM(B4:P4)</f>
        <v>177471.70815437156</v>
      </c>
    </row>
    <row r="5" spans="1:17">
      <c r="A5" s="460" t="s">
        <v>156</v>
      </c>
      <c r="B5" s="461">
        <f ca="1">tertiair!B16</f>
        <v>23607.16876033209</v>
      </c>
      <c r="C5" s="461">
        <f ca="1">tertiair!C16</f>
        <v>0</v>
      </c>
      <c r="D5" s="461">
        <f ca="1">tertiair!D16</f>
        <v>22114.728902347142</v>
      </c>
      <c r="E5" s="461">
        <f>tertiair!E16</f>
        <v>546.45797121100497</v>
      </c>
      <c r="F5" s="461">
        <f ca="1">tertiair!F16</f>
        <v>4482.8073767075002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3.1266666666666669</v>
      </c>
      <c r="P5" s="462">
        <f>tertiair!P16</f>
        <v>19.066666666666666</v>
      </c>
      <c r="Q5" s="460">
        <f t="shared" ref="Q5:Q13" ca="1" si="0">SUM(B5:P5)</f>
        <v>50773.356343931067</v>
      </c>
    </row>
    <row r="6" spans="1:17">
      <c r="A6" s="460" t="s">
        <v>195</v>
      </c>
      <c r="B6" s="461">
        <f>'openbare verlichting'!B8</f>
        <v>756.48500000000001</v>
      </c>
      <c r="C6" s="461"/>
      <c r="D6" s="461"/>
      <c r="E6" s="461"/>
      <c r="F6" s="461"/>
      <c r="G6" s="461"/>
      <c r="H6" s="461"/>
      <c r="I6" s="461"/>
      <c r="J6" s="461"/>
      <c r="K6" s="461"/>
      <c r="L6" s="461"/>
      <c r="M6" s="461"/>
      <c r="N6" s="461"/>
      <c r="O6" s="461"/>
      <c r="P6" s="462"/>
      <c r="Q6" s="460">
        <f t="shared" si="0"/>
        <v>756.48500000000001</v>
      </c>
    </row>
    <row r="7" spans="1:17">
      <c r="A7" s="460" t="s">
        <v>112</v>
      </c>
      <c r="B7" s="461">
        <f>landbouw!B8</f>
        <v>4302.1830370011767</v>
      </c>
      <c r="C7" s="461">
        <f>landbouw!C8</f>
        <v>0</v>
      </c>
      <c r="D7" s="461">
        <f>landbouw!D8</f>
        <v>3246.7470086850922</v>
      </c>
      <c r="E7" s="461">
        <f>landbouw!E8</f>
        <v>45.053392148122192</v>
      </c>
      <c r="F7" s="461">
        <f>landbouw!F8</f>
        <v>22096.697089980775</v>
      </c>
      <c r="G7" s="461">
        <f>landbouw!G8</f>
        <v>0</v>
      </c>
      <c r="H7" s="461">
        <f>landbouw!H8</f>
        <v>0</v>
      </c>
      <c r="I7" s="461">
        <f>landbouw!I8</f>
        <v>0</v>
      </c>
      <c r="J7" s="461">
        <f>landbouw!J8</f>
        <v>384.22350632860542</v>
      </c>
      <c r="K7" s="461">
        <f>landbouw!K8</f>
        <v>0</v>
      </c>
      <c r="L7" s="461">
        <f>landbouw!L8</f>
        <v>0</v>
      </c>
      <c r="M7" s="461">
        <f>landbouw!M8</f>
        <v>0</v>
      </c>
      <c r="N7" s="461">
        <f>landbouw!N8</f>
        <v>0</v>
      </c>
      <c r="O7" s="461">
        <f>landbouw!O8</f>
        <v>0</v>
      </c>
      <c r="P7" s="462">
        <f>landbouw!P8</f>
        <v>0</v>
      </c>
      <c r="Q7" s="460">
        <f t="shared" si="0"/>
        <v>30074.904034143772</v>
      </c>
    </row>
    <row r="8" spans="1:17">
      <c r="A8" s="460" t="s">
        <v>656</v>
      </c>
      <c r="B8" s="461">
        <f>industrie!B18</f>
        <v>12450.829736718928</v>
      </c>
      <c r="C8" s="461">
        <f>industrie!C18</f>
        <v>0</v>
      </c>
      <c r="D8" s="461">
        <f>industrie!D18</f>
        <v>3357.1342938933085</v>
      </c>
      <c r="E8" s="461">
        <f>industrie!E18</f>
        <v>123.00995476545161</v>
      </c>
      <c r="F8" s="461">
        <f>industrie!F18</f>
        <v>2787.2721960960421</v>
      </c>
      <c r="G8" s="461">
        <f>industrie!G18</f>
        <v>0</v>
      </c>
      <c r="H8" s="461">
        <f>industrie!H18</f>
        <v>0</v>
      </c>
      <c r="I8" s="461">
        <f>industrie!I18</f>
        <v>0</v>
      </c>
      <c r="J8" s="461">
        <f>industrie!J18</f>
        <v>47.603678760037582</v>
      </c>
      <c r="K8" s="461">
        <f>industrie!K18</f>
        <v>0</v>
      </c>
      <c r="L8" s="461">
        <f>industrie!L18</f>
        <v>0</v>
      </c>
      <c r="M8" s="461">
        <f>industrie!M18</f>
        <v>0</v>
      </c>
      <c r="N8" s="461">
        <f>industrie!N18</f>
        <v>256.49567054217175</v>
      </c>
      <c r="O8" s="461">
        <f>industrie!O18</f>
        <v>0</v>
      </c>
      <c r="P8" s="462">
        <f>industrie!P18</f>
        <v>0</v>
      </c>
      <c r="Q8" s="460">
        <f t="shared" si="0"/>
        <v>19022.34553077594</v>
      </c>
    </row>
    <row r="9" spans="1:17" s="466" customFormat="1">
      <c r="A9" s="464" t="s">
        <v>574</v>
      </c>
      <c r="B9" s="465">
        <f>transport!B14</f>
        <v>0.94463978736255627</v>
      </c>
      <c r="C9" s="465"/>
      <c r="D9" s="465">
        <f>transport!D14</f>
        <v>4.6168369669162352</v>
      </c>
      <c r="E9" s="465">
        <f>transport!E14</f>
        <v>469.22494160849226</v>
      </c>
      <c r="F9" s="465"/>
      <c r="G9" s="465">
        <f>transport!G14</f>
        <v>75886.416167651376</v>
      </c>
      <c r="H9" s="465">
        <f>transport!H14</f>
        <v>15373.796261294596</v>
      </c>
      <c r="I9" s="465"/>
      <c r="J9" s="465"/>
      <c r="K9" s="465"/>
      <c r="L9" s="465"/>
      <c r="M9" s="465">
        <f>transport!M14</f>
        <v>3988.2202703412358</v>
      </c>
      <c r="N9" s="465"/>
      <c r="O9" s="465"/>
      <c r="P9" s="465"/>
      <c r="Q9" s="464">
        <f>SUM(B9:P9)</f>
        <v>95723.219117649976</v>
      </c>
    </row>
    <row r="10" spans="1:17">
      <c r="A10" s="460" t="s">
        <v>564</v>
      </c>
      <c r="B10" s="461">
        <f>transport!B54</f>
        <v>0</v>
      </c>
      <c r="C10" s="461"/>
      <c r="D10" s="461">
        <f>transport!D54</f>
        <v>0</v>
      </c>
      <c r="E10" s="461"/>
      <c r="F10" s="461"/>
      <c r="G10" s="461">
        <f>transport!G54</f>
        <v>1564.0724016558568</v>
      </c>
      <c r="H10" s="461"/>
      <c r="I10" s="461"/>
      <c r="J10" s="461"/>
      <c r="K10" s="461"/>
      <c r="L10" s="461"/>
      <c r="M10" s="461">
        <f>transport!M54</f>
        <v>66.669611406691402</v>
      </c>
      <c r="N10" s="461"/>
      <c r="O10" s="461"/>
      <c r="P10" s="462"/>
      <c r="Q10" s="460">
        <f t="shared" si="0"/>
        <v>1630.7420130625483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74106.288627502596</v>
      </c>
      <c r="C14" s="471">
        <f t="shared" ref="C14:Q14" ca="1" si="1">SUM(C4:C13)</f>
        <v>0</v>
      </c>
      <c r="D14" s="471">
        <f t="shared" ca="1" si="1"/>
        <v>88163.569819512399</v>
      </c>
      <c r="E14" s="471">
        <f t="shared" si="1"/>
        <v>4632.2102515253191</v>
      </c>
      <c r="F14" s="471">
        <f t="shared" ca="1" si="1"/>
        <v>79754.870193617433</v>
      </c>
      <c r="G14" s="471">
        <f t="shared" si="1"/>
        <v>77450.488569307228</v>
      </c>
      <c r="H14" s="471">
        <f t="shared" si="1"/>
        <v>15373.796261294596</v>
      </c>
      <c r="I14" s="471">
        <f t="shared" si="1"/>
        <v>0</v>
      </c>
      <c r="J14" s="471">
        <f t="shared" si="1"/>
        <v>431.82718508864298</v>
      </c>
      <c r="K14" s="471">
        <f t="shared" si="1"/>
        <v>0</v>
      </c>
      <c r="L14" s="471">
        <f t="shared" ca="1" si="1"/>
        <v>0</v>
      </c>
      <c r="M14" s="471">
        <f t="shared" si="1"/>
        <v>4054.8898817479271</v>
      </c>
      <c r="N14" s="471">
        <f t="shared" ca="1" si="1"/>
        <v>30822.759404338725</v>
      </c>
      <c r="O14" s="471">
        <f t="shared" si="1"/>
        <v>128.19333333333333</v>
      </c>
      <c r="P14" s="472">
        <f t="shared" si="1"/>
        <v>533.86666666666667</v>
      </c>
      <c r="Q14" s="472">
        <f t="shared" ca="1" si="1"/>
        <v>375452.76019393484</v>
      </c>
    </row>
    <row r="16" spans="1:17">
      <c r="A16" s="474" t="s">
        <v>569</v>
      </c>
      <c r="B16" s="828">
        <f ca="1">huishoudens!B10</f>
        <v>0.20451414289683964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6746.6510947361949</v>
      </c>
      <c r="C21" s="461">
        <f t="shared" ref="C21:C28" ca="1" si="3">C4*$C$16</f>
        <v>0</v>
      </c>
      <c r="D21" s="461">
        <f t="shared" ref="D21:D30" si="4">D4*$D$16</f>
        <v>12006.949241079228</v>
      </c>
      <c r="E21" s="461">
        <f t="shared" ref="E21:E30" si="5">E4*$E$16</f>
        <v>782.8013261368402</v>
      </c>
      <c r="F21" s="461">
        <f t="shared" ref="F21:F28" si="6">F4*$F$16</f>
        <v>13453.62097273244</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32990.022634684705</v>
      </c>
    </row>
    <row r="22" spans="1:17">
      <c r="A22" s="460" t="s">
        <v>156</v>
      </c>
      <c r="B22" s="461">
        <f t="shared" ca="1" si="2"/>
        <v>4827.999885240366</v>
      </c>
      <c r="C22" s="461">
        <f t="shared" ca="1" si="3"/>
        <v>0</v>
      </c>
      <c r="D22" s="461">
        <f t="shared" ca="1" si="4"/>
        <v>4467.1752382741233</v>
      </c>
      <c r="E22" s="461">
        <f t="shared" si="5"/>
        <v>124.04595946489813</v>
      </c>
      <c r="F22" s="461">
        <f t="shared" ca="1" si="6"/>
        <v>1196.9095695809026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10616.13065256029</v>
      </c>
    </row>
    <row r="23" spans="1:17">
      <c r="A23" s="460" t="s">
        <v>195</v>
      </c>
      <c r="B23" s="461">
        <f t="shared" ca="1" si="2"/>
        <v>154.71188138931575</v>
      </c>
      <c r="C23" s="461"/>
      <c r="D23" s="461"/>
      <c r="E23" s="461"/>
      <c r="F23" s="461"/>
      <c r="G23" s="461"/>
      <c r="H23" s="461"/>
      <c r="I23" s="461"/>
      <c r="J23" s="461"/>
      <c r="K23" s="461"/>
      <c r="L23" s="461"/>
      <c r="M23" s="461"/>
      <c r="N23" s="461"/>
      <c r="O23" s="461"/>
      <c r="P23" s="462"/>
      <c r="Q23" s="460">
        <f t="shared" ca="1" si="17"/>
        <v>154.71188138931575</v>
      </c>
    </row>
    <row r="24" spans="1:17">
      <c r="A24" s="460" t="s">
        <v>112</v>
      </c>
      <c r="B24" s="461">
        <f t="shared" ca="1" si="2"/>
        <v>879.85727639761819</v>
      </c>
      <c r="C24" s="461">
        <f t="shared" ca="1" si="3"/>
        <v>0</v>
      </c>
      <c r="D24" s="461">
        <f t="shared" si="4"/>
        <v>655.84289575438868</v>
      </c>
      <c r="E24" s="461">
        <f t="shared" si="5"/>
        <v>10.227120017623738</v>
      </c>
      <c r="F24" s="461">
        <f t="shared" si="6"/>
        <v>5899.8181230248674</v>
      </c>
      <c r="G24" s="461">
        <f t="shared" si="7"/>
        <v>0</v>
      </c>
      <c r="H24" s="461">
        <f t="shared" si="8"/>
        <v>0</v>
      </c>
      <c r="I24" s="461">
        <f t="shared" si="9"/>
        <v>0</v>
      </c>
      <c r="J24" s="461">
        <f t="shared" si="10"/>
        <v>136.01512124032632</v>
      </c>
      <c r="K24" s="461">
        <f t="shared" si="11"/>
        <v>0</v>
      </c>
      <c r="L24" s="461">
        <f t="shared" si="12"/>
        <v>0</v>
      </c>
      <c r="M24" s="461">
        <f t="shared" si="13"/>
        <v>0</v>
      </c>
      <c r="N24" s="461">
        <f t="shared" si="14"/>
        <v>0</v>
      </c>
      <c r="O24" s="461">
        <f t="shared" si="15"/>
        <v>0</v>
      </c>
      <c r="P24" s="462">
        <f t="shared" si="16"/>
        <v>0</v>
      </c>
      <c r="Q24" s="460">
        <f t="shared" ca="1" si="17"/>
        <v>7581.7605364348246</v>
      </c>
    </row>
    <row r="25" spans="1:17">
      <c r="A25" s="460" t="s">
        <v>656</v>
      </c>
      <c r="B25" s="461">
        <f t="shared" ca="1" si="2"/>
        <v>2546.370771959555</v>
      </c>
      <c r="C25" s="461">
        <f t="shared" ca="1" si="3"/>
        <v>0</v>
      </c>
      <c r="D25" s="461">
        <f t="shared" si="4"/>
        <v>678.14112736644836</v>
      </c>
      <c r="E25" s="461">
        <f t="shared" si="5"/>
        <v>27.923259731757515</v>
      </c>
      <c r="F25" s="461">
        <f t="shared" si="6"/>
        <v>744.20167635764324</v>
      </c>
      <c r="G25" s="461">
        <f t="shared" si="7"/>
        <v>0</v>
      </c>
      <c r="H25" s="461">
        <f t="shared" si="8"/>
        <v>0</v>
      </c>
      <c r="I25" s="461">
        <f t="shared" si="9"/>
        <v>0</v>
      </c>
      <c r="J25" s="461">
        <f t="shared" si="10"/>
        <v>16.851702281053303</v>
      </c>
      <c r="K25" s="461">
        <f t="shared" si="11"/>
        <v>0</v>
      </c>
      <c r="L25" s="461">
        <f t="shared" si="12"/>
        <v>0</v>
      </c>
      <c r="M25" s="461">
        <f t="shared" si="13"/>
        <v>0</v>
      </c>
      <c r="N25" s="461">
        <f t="shared" si="14"/>
        <v>0</v>
      </c>
      <c r="O25" s="461">
        <f t="shared" si="15"/>
        <v>0</v>
      </c>
      <c r="P25" s="462">
        <f t="shared" si="16"/>
        <v>0</v>
      </c>
      <c r="Q25" s="460">
        <f t="shared" ca="1" si="17"/>
        <v>4013.4885376964571</v>
      </c>
    </row>
    <row r="26" spans="1:17" s="466" customFormat="1">
      <c r="A26" s="464" t="s">
        <v>574</v>
      </c>
      <c r="B26" s="822">
        <f t="shared" ca="1" si="2"/>
        <v>0.19319219645870606</v>
      </c>
      <c r="C26" s="465"/>
      <c r="D26" s="465">
        <f t="shared" si="4"/>
        <v>0.93260106731707959</v>
      </c>
      <c r="E26" s="465">
        <f t="shared" si="5"/>
        <v>106.51406174512775</v>
      </c>
      <c r="F26" s="465"/>
      <c r="G26" s="465">
        <f t="shared" si="7"/>
        <v>20261.673116762919</v>
      </c>
      <c r="H26" s="465">
        <f t="shared" si="8"/>
        <v>3828.0752690623544</v>
      </c>
      <c r="I26" s="465"/>
      <c r="J26" s="465"/>
      <c r="K26" s="465"/>
      <c r="L26" s="465"/>
      <c r="M26" s="465">
        <f t="shared" si="13"/>
        <v>0</v>
      </c>
      <c r="N26" s="465"/>
      <c r="O26" s="465"/>
      <c r="P26" s="476"/>
      <c r="Q26" s="464">
        <f t="shared" ca="1" si="17"/>
        <v>24197.388240834178</v>
      </c>
    </row>
    <row r="27" spans="1:17">
      <c r="A27" s="460" t="s">
        <v>564</v>
      </c>
      <c r="B27" s="461">
        <f t="shared" ca="1" si="2"/>
        <v>0</v>
      </c>
      <c r="C27" s="461"/>
      <c r="D27" s="465">
        <f>D10*$D$16</f>
        <v>0</v>
      </c>
      <c r="E27" s="461"/>
      <c r="F27" s="461"/>
      <c r="G27" s="461">
        <f t="shared" si="7"/>
        <v>417.60733124211379</v>
      </c>
      <c r="H27" s="461"/>
      <c r="I27" s="461"/>
      <c r="J27" s="461"/>
      <c r="K27" s="461"/>
      <c r="L27" s="461"/>
      <c r="M27" s="461">
        <f t="shared" si="13"/>
        <v>0</v>
      </c>
      <c r="N27" s="461"/>
      <c r="O27" s="461"/>
      <c r="P27" s="462"/>
      <c r="Q27" s="460">
        <f t="shared" ca="1" si="17"/>
        <v>417.60733124211379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15155.784101919509</v>
      </c>
      <c r="C31" s="471">
        <f t="shared" ca="1" si="18"/>
        <v>0</v>
      </c>
      <c r="D31" s="471">
        <f t="shared" ca="1" si="18"/>
        <v>17809.041103541505</v>
      </c>
      <c r="E31" s="471">
        <f t="shared" si="18"/>
        <v>1051.5117270962473</v>
      </c>
      <c r="F31" s="471">
        <f t="shared" ca="1" si="18"/>
        <v>21294.550341695853</v>
      </c>
      <c r="G31" s="471">
        <f t="shared" si="18"/>
        <v>20679.280448005033</v>
      </c>
      <c r="H31" s="471">
        <f t="shared" si="18"/>
        <v>3828.0752690623544</v>
      </c>
      <c r="I31" s="471">
        <f t="shared" si="18"/>
        <v>0</v>
      </c>
      <c r="J31" s="471">
        <f t="shared" si="18"/>
        <v>152.86682352137962</v>
      </c>
      <c r="K31" s="471">
        <f t="shared" si="18"/>
        <v>0</v>
      </c>
      <c r="L31" s="471">
        <f t="shared" ca="1" si="18"/>
        <v>0</v>
      </c>
      <c r="M31" s="471">
        <f t="shared" si="18"/>
        <v>0</v>
      </c>
      <c r="N31" s="471">
        <f t="shared" ca="1" si="18"/>
        <v>0</v>
      </c>
      <c r="O31" s="471">
        <f t="shared" si="18"/>
        <v>0</v>
      </c>
      <c r="P31" s="472">
        <f t="shared" si="18"/>
        <v>0</v>
      </c>
      <c r="Q31" s="472">
        <f t="shared" ca="1" si="18"/>
        <v>79971.109814841882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0.20451414289683964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0.20451414289683964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0.20451414289683964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2018-12-05T15:55:12Z</dcterms:modified>
</cp:coreProperties>
</file>