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B13" i="15"/>
  <c r="F6" i="17"/>
  <c r="F8" s="1"/>
  <c r="D16" i="16"/>
  <c r="C18"/>
  <c r="C8" i="48" s="1"/>
  <c r="C97" i="18"/>
  <c r="I100" s="1"/>
  <c r="H7" s="1"/>
  <c r="I67" i="14" s="1"/>
  <c r="F16" i="16"/>
  <c r="D13" i="15"/>
  <c r="J15" i="16"/>
  <c r="C13" i="15"/>
  <c r="B16" i="16"/>
  <c r="D8" i="17"/>
  <c r="D7" i="48" s="1"/>
  <c r="D24" s="1"/>
  <c r="O80" i="14"/>
  <c r="J8" i="18"/>
  <c r="E8" i="16"/>
  <c r="C12" i="14"/>
  <c r="R12" s="1"/>
  <c r="F19" i="19"/>
  <c r="G35" i="14" s="1"/>
  <c r="L19" i="19"/>
  <c r="M35" i="14" s="1"/>
  <c r="L12" i="13"/>
  <c r="M37" i="14" s="1"/>
  <c r="B97" i="18"/>
  <c r="D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G22" i="14" l="1"/>
  <c r="F7" i="48"/>
  <c r="F24" s="1"/>
  <c r="F12" i="17"/>
  <c r="G48" i="14" s="1"/>
  <c r="E22"/>
  <c r="G31" i="20"/>
  <c r="H43" i="14" s="1"/>
  <c r="E101" i="18"/>
  <c r="E16" s="1"/>
  <c r="F78" i="14" s="1"/>
  <c r="F81" s="1"/>
  <c r="F101" i="18"/>
  <c r="D13" i="14"/>
  <c r="J12" i="17"/>
  <c r="K48" i="14" s="1"/>
  <c r="H101" i="18"/>
  <c r="J16" s="1"/>
  <c r="K78" i="14" s="1"/>
  <c r="K81" s="1"/>
  <c r="H19" i="18"/>
  <c r="G13" i="48"/>
  <c r="G30" s="1"/>
  <c r="H17" i="14"/>
  <c r="B100" i="18"/>
  <c r="C7" s="1"/>
  <c r="G100"/>
  <c r="G101"/>
  <c r="I16" s="1"/>
  <c r="D16" i="15"/>
  <c r="D20" s="1"/>
  <c r="C101" i="18"/>
  <c r="O78" i="14"/>
  <c r="E100" i="18"/>
  <c r="E7" s="1"/>
  <c r="F67" i="14" s="1"/>
  <c r="F69" s="1"/>
  <c r="D100" i="18"/>
  <c r="H100"/>
  <c r="C100"/>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B48" i="13"/>
  <c r="C48" s="1"/>
  <c r="N5" s="1"/>
  <c r="N8" s="1"/>
  <c r="N4" i="48" s="1"/>
  <c r="N21" s="1"/>
  <c r="M25"/>
  <c r="M24"/>
  <c r="I31"/>
  <c r="C50" i="13"/>
  <c r="J5" s="1"/>
  <c r="J8" s="1"/>
  <c r="C5" i="48"/>
  <c r="J78" i="14" l="1"/>
  <c r="I19" i="18"/>
  <c r="E12" i="17"/>
  <c r="F48" i="14" s="1"/>
  <c r="D5" i="48"/>
  <c r="D22" s="1"/>
  <c r="D31" s="1"/>
  <c r="E10" i="14"/>
  <c r="E15" s="1"/>
  <c r="E23" s="1"/>
  <c r="C14" i="48"/>
  <c r="R17" i="14"/>
  <c r="M16" i="18"/>
  <c r="M19" s="1"/>
  <c r="E9"/>
  <c r="C9"/>
  <c r="D67" i="14"/>
  <c r="J19" i="18"/>
  <c r="Q15" i="14"/>
  <c r="Q23" s="1"/>
  <c r="Q55" s="1"/>
  <c r="Q13" i="48"/>
  <c r="E7"/>
  <c r="E24" s="1"/>
  <c r="L7"/>
  <c r="L24" s="1"/>
  <c r="M22" i="14"/>
  <c r="L12" i="17"/>
  <c r="M48" i="14" s="1"/>
  <c r="O22"/>
  <c r="R22" s="1"/>
  <c r="N12" i="17"/>
  <c r="O48" i="14" s="1"/>
  <c r="N7" i="48"/>
  <c r="N24" s="1"/>
  <c r="D8"/>
  <c r="D25"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C78"/>
  <c r="C81" s="1"/>
  <c r="J81"/>
  <c r="D14" i="48"/>
  <c r="Q7"/>
  <c r="L3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<sst xmlns="http://schemas.openxmlformats.org/spreadsheetml/2006/main" count="2252" uniqueCount="952">
  <si>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</si>
  <si>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</si>
  <si>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</si>
  <si>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</si>
  <si>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</si>
  <si>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</si>
  <si>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</si>
  <si>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</si>
  <si>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</si>
  <si>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</si>
  <si>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</si>
  <si>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</si>
  <si>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</si>
  <si>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</si>
  <si>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</si>
  <si>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</si>
  <si>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</si>
  <si>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</si>
  <si>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</si>
  <si>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</si>
  <si>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</si>
  <si>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</si>
  <si>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</si>
  <si>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</si>
  <si>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</si>
  <si>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</si>
  <si>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</si>
  <si>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</si>
  <si>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</si>
  <si>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</si>
  <si>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</si>
  <si>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</si>
  <si>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</si>
  <si>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</si>
  <si>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</si>
  <si>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</si>
  <si>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</si>
  <si>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</si>
  <si>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</si>
  <si>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</si>
  <si>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</si>
  <si>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</si>
  <si>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</si>
  <si>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</si>
  <si>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</si>
  <si>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</si>
  <si>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</si>
  <si>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</si>
  <si>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</si>
  <si>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</si>
  <si>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</si>
  <si>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</si>
  <si>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</si>
  <si>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</si>
  <si>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</si>
  <si>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</si>
  <si>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</si>
  <si>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</si>
  <si>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</si>
  <si>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</si>
  <si>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</si>
  <si>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</si>
  <si>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</si>
  <si>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</si>
  <si>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</si>
  <si>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</si>
  <si>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</si>
  <si>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</si>
  <si>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</si>
  <si>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</si>
  <si>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</si>
  <si>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</si>
  <si>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</si>
  <si>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</si>
  <si>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</si>
  <si>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</si>
  <si>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</si>
  <si>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</si>
  <si>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</si>
  <si>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</si>
  <si>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</si>
  <si>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</si>
  <si>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</si>
  <si>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</si>
  <si>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</si>
  <si>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</si>
  <si>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</si>
  <si>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</si>
  <si>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</si>
  <si>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</si>
  <si>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</si>
  <si>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</si>
  <si>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</si>
  <si>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</si>
  <si>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</si>
  <si>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</si>
  <si>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</si>
  <si>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</si>
  <si>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</si>
  <si>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</si>
  <si>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</si>
  <si>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</si>
  <si>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</si>
  <si>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</si>
  <si>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</si>
  <si>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</si>
  <si>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</si>
  <si>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</si>
  <si>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</si>
  <si>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</si>
  <si>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</si>
  <si>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</si>
  <si>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</si>
  <si>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</si>
  <si>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</si>
  <si>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</si>
  <si>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</si>
  <si>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</si>
  <si>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</si>
  <si>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</si>
  <si>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</si>
  <si>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</si>
  <si>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</si>
  <si>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</si>
  <si>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</si>
  <si>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</si>
  <si>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</si>
  <si>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</si>
  <si>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</si>
  <si>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</si>
  <si>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</si>
  <si>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</si>
  <si>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</si>
  <si>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</si>
  <si>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</si>
  <si>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</si>
  <si>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</si>
  <si>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</si>
  <si>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</si>
  <si>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</si>
  <si>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</si>
  <si>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</si>
  <si>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</si>
  <si>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</si>
  <si>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</si>
  <si>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</si>
  <si>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</si>
  <si>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</si>
  <si>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</si>
  <si>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</si>
  <si>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</si>
  <si>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</si>
  <si>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</si>
  <si>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</si>
  <si>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</si>
  <si>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</si>
  <si>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</si>
  <si>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</si>
  <si>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</si>
  <si>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</si>
  <si>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</si>
  <si>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</si>
  <si>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</si>
  <si>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</si>
  <si>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</si>
  <si>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</si>
  <si>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</si>
  <si>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</si>
  <si>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</si>
  <si>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</si>
  <si>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</si>
  <si>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</si>
  <si>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</si>
  <si>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</si>
  <si>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</si>
  <si>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</si>
  <si>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</si>
  <si>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</si>
  <si>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</si>
  <si>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</si>
  <si>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</si>
  <si>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</si>
  <si>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</si>
  <si>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</si>
  <si>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</si>
  <si>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</si>
  <si>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</si>
  <si>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</si>
  <si>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</si>
  <si>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</si>
  <si>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</si>
  <si>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</si>
  <si>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</si>
  <si>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</si>
  <si>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</si>
  <si>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</si>
  <si>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</si>
  <si>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</si>
  <si>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</si>
  <si>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</si>
  <si>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</si>
  <si>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</si>
  <si>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</si>
  <si>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</si>
  <si>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</si>
  <si>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</si>
  <si>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</si>
  <si>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</si>
  <si>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</si>
  <si>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</si>
  <si>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</si>
  <si>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</si>
  <si>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</si>
  <si>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</si>
  <si>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</si>
  <si>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</si>
  <si>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</si>
  <si>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</si>
  <si>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</si>
  <si>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</si>
  <si>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</si>
  <si>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</si>
  <si>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</si>
  <si>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</si>
  <si>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</si>
  <si>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</si>
  <si>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</si>
  <si>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</si>
  <si>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</si>
  <si>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</si>
  <si>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</si>
  <si>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</si>
  <si>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</si>
  <si>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</si>
  <si>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</si>
  <si>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</si>
  <si>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</si>
  <si>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</si>
  <si>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</si>
  <si>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</si>
  <si>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</si>
  <si>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</si>
  <si>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</si>
  <si>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</si>
  <si>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</si>
  <si>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</si>
  <si>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</si>
  <si>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</si>
  <si>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</si>
  <si>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</si>
  <si>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</si>
  <si>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</si>
  <si>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</si>
  <si>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</si>
  <si>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</si>
  <si>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</si>
  <si>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</si>
  <si>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</si>
  <si>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</si>
  <si>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</si>
  <si>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</si>
  <si>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</si>
  <si>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</si>
  <si>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</si>
  <si>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</si>
  <si>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</si>
  <si>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</si>
  <si>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</si>
  <si>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</si>
  <si>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</si>
  <si>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</si>
  <si>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</si>
  <si>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</si>
  <si>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</si>
  <si>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</si>
  <si>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</si>
  <si>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</si>
  <si>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</si>
  <si>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</si>
  <si>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</si>
  <si>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</si>
  <si>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</si>
  <si>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</si>
  <si>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</si>
  <si>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</si>
  <si>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</si>
  <si>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</si>
  <si>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</si>
  <si>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</si>
  <si>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</si>
  <si>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</si>
  <si>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</si>
  <si>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</si>
  <si>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</si>
  <si>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</si>
  <si>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</si>
  <si>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</si>
  <si>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</si>
  <si>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</si>
  <si>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</si>
  <si>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</si>
  <si>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</si>
  <si>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</si>
  <si>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</si>
  <si>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</si>
  <si>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</si>
  <si>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</si>
  <si>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</si>
  <si>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</si>
  <si>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</si>
  <si>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</si>
  <si>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</si>
  <si>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</si>
  <si>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</si>
  <si>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</si>
  <si>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</si>
  <si>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</si>
  <si>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</si>
  <si>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</si>
  <si>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</si>
  <si>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</si>
  <si>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</si>
  <si>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</si>
  <si>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</si>
  <si>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</si>
  <si>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</si>
  <si>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</si>
  <si>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</si>
  <si>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</si>
  <si>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</si>
  <si>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</si>
  <si>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</si>
  <si>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</si>
  <si>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</si>
  <si>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</si>
  <si>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</si>
  <si>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</si>
  <si>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</si>
  <si>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</si>
  <si>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</si>
  <si>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</si>
  <si>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</si>
  <si>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</si>
  <si>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</si>
  <si>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</si>
  <si>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</si>
  <si>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</si>
  <si>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</si>
  <si>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</si>
  <si>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</si>
  <si>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</si>
  <si>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</si>
  <si>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</si>
  <si>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</si>
  <si>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</si>
  <si>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</si>
  <si>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</si>
  <si>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</si>
  <si>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</si>
  <si>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</si>
  <si>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</si>
  <si>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</si>
  <si>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</si>
  <si>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</si>
  <si>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</si>
  <si>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</si>
  <si>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</si>
  <si>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</si>
  <si>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</si>
  <si>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</si>
  <si>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</si>
  <si>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</si>
  <si>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</si>
  <si>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</si>
  <si>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</si>
  <si>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</si>
  <si>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</si>
  <si>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</si>
  <si>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</si>
  <si>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</si>
  <si>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</si>
  <si>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</si>
  <si>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</si>
  <si>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</si>
  <si>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</si>
  <si>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</si>
  <si>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</si>
  <si>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</si>
  <si>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</si>
  <si>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</si>
  <si>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</si>
  <si>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</si>
  <si>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</si>
  <si>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</si>
  <si>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</si>
  <si>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</si>
  <si>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</si>
  <si>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</si>
  <si>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</si>
  <si>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</si>
  <si>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</si>
  <si>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</si>
  <si>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</si>
  <si>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</si>
  <si>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</si>
  <si>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</si>
  <si>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</si>
  <si>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</si>
  <si>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</si>
  <si>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</si>
  <si>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</si>
  <si>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</si>
  <si>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</si>
  <si>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</si>
  <si>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</si>
  <si>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</si>
  <si>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</si>
  <si>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</si>
  <si>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</si>
  <si>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</si>
  <si>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</si>
  <si>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</si>
  <si>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</si>
  <si>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</si>
  <si>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</si>
  <si>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</si>
  <si>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</si>
  <si>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</si>
  <si>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</si>
  <si>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</si>
  <si>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</si>
  <si>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</si>
  <si>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</si>
  <si>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</si>
  <si>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</si>
  <si>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</si>
  <si>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</si>
  <si>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</si>
  <si>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</si>
  <si>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</si>
  <si>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</si>
  <si>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</si>
  <si>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</si>
  <si>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</si>
  <si>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</si>
  <si>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</si>
  <si>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</si>
  <si>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</si>
  <si>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</si>
  <si>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</si>
  <si>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</si>
  <si>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</si>
  <si>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</si>
  <si>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</si>
  <si>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</si>
  <si>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</si>
  <si>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</si>
  <si>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</si>
  <si>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</si>
  <si>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</si>
  <si>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</si>
  <si>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</si>
  <si>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</si>
  <si>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</si>
  <si>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</si>
  <si>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</si>
  <si>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</si>
  <si>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</si>
  <si>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</si>
  <si>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</si>
  <si>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</si>
  <si>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</si>
  <si>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</si>
  <si>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</si>
  <si>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</si>
  <si>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</si>
  <si>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</si>
  <si>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</si>
  <si>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</si>
  <si>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</si>
  <si>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</si>
  <si>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</si>
  <si>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</si>
  <si>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</si>
  <si>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</si>
  <si>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</si>
  <si>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</si>
  <si>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</si>
  <si>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</si>
  <si>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</si>
  <si>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</si>
  <si>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</si>
  <si>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</si>
  <si>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</si>
  <si>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</si>
  <si>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</si>
  <si>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</si>
  <si>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</si>
  <si>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</si>
  <si>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</si>
  <si>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</si>
  <si>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</si>
  <si>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</si>
  <si>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</si>
  <si>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</si>
  <si>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</si>
  <si>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</si>
  <si>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</si>
  <si>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</si>
  <si>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</si>
  <si>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</si>
  <si>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</si>
  <si>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</si>
  <si>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</si>
  <si>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</si>
  <si>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</si>
  <si>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</si>
  <si>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</si>
  <si>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</si>
  <si>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</si>
  <si>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</si>
  <si>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</si>
  <si>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</si>
  <si>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</si>
  <si>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</si>
  <si>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</si>
  <si>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</si>
  <si>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</si>
  <si>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</si>
  <si>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</si>
  <si>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</si>
  <si>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</si>
  <si>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</si>
  <si>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</si>
  <si>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</si>
  <si>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</si>
  <si>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</si>
  <si>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</si>
  <si>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</si>
  <si>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</si>
  <si>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</si>
  <si>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</si>
  <si>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</si>
  <si>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</si>
  <si>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</si>
  <si>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</si>
  <si>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</si>
  <si>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</si>
  <si>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</si>
  <si>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</si>
  <si>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</si>
  <si>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</si>
  <si>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</si>
  <si>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</si>
  <si>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</si>
  <si>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</si>
  <si>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</si>
  <si>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</si>
  <si>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</si>
  <si>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</si>
  <si>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</si>
  <si>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</si>
  <si>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</si>
  <si>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</si>
  <si>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</si>
  <si>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</si>
  <si>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</si>
  <si>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</si>
  <si>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</si>
  <si>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</si>
  <si>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</si>
  <si>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</si>
  <si>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</si>
  <si>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</si>
  <si>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</si>
  <si>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</si>
  <si>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</si>
  <si>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</si>
  <si>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</si>
  <si>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</si>
  <si>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</si>
  <si>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</si>
  <si>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</si>
  <si>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</si>
  <si>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</si>
  <si>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</si>
  <si>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</si>
  <si>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</si>
  <si>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</si>
  <si>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</si>
  <si>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</si>
  <si>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</si>
  <si>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</si>
  <si>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</si>
  <si>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</si>
  <si>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</si>
  <si>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</si>
  <si>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</si>
  <si>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</si>
  <si>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</si>
  <si>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</si>
  <si>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</si>
  <si>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</si>
  <si>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</si>
  <si>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</si>
  <si>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</si>
  <si>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</si>
  <si>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</si>
  <si>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</si>
  <si>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</si>
  <si>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</si>
  <si>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</si>
  <si>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</si>
  <si>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</si>
  <si>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</si>
  <si>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</si>
  <si>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</si>
  <si>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</si>
  <si>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</si>
  <si>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</si>
  <si>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</si>
  <si>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</si>
  <si>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</si>
  <si>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</si>
  <si>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</si>
  <si>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</si>
  <si>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</si>
  <si>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</si>
  <si>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</si>
  <si>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</si>
  <si>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</si>
  <si>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</si>
  <si>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</si>
  <si>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</si>
  <si>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</si>
  <si>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</si>
  <si>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</si>
  <si>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</si>
  <si>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</si>
  <si>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</si>
  <si>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</si>
  <si>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</si>
  <si>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</si>
  <si>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</si>
  <si>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</si>
  <si>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</si>
  <si>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</si>
  <si>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</si>
  <si>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</si>
  <si>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</si>
  <si>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</si>
  <si>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</si>
  <si>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</si>
  <si>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</si>
  <si>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</si>
  <si>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</si>
  <si>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</si>
  <si>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</si>
  <si>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</si>
  <si>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</si>
  <si>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</si>
  <si>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</si>
  <si>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</si>
  <si>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</si>
  <si>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</si>
  <si>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</si>
  <si>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</si>
  <si>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</si>
  <si>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</si>
  <si>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</si>
  <si>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</si>
  <si>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</si>
  <si>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</si>
  <si>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</si>
  <si>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</si>
  <si>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</si>
  <si>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</si>
  <si>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</si>
  <si>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</si>
  <si>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</si>
  <si>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</si>
  <si>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</si>
  <si>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</si>
  <si>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</si>
  <si>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</si>
  <si>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</si>
  <si>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</si>
  <si>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</si>
  <si>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</si>
  <si>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</si>
  <si>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</si>
  <si>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</si>
  <si>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</si>
  <si>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</si>
  <si>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</si>
  <si>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</si>
  <si>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</si>
  <si>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</si>
  <si>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</si>
  <si>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</si>
  <si>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</si>
  <si>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</si>
  <si>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</si>
  <si>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</si>
  <si>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</si>
  <si>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</si>
  <si>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</si>
  <si>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</si>
  <si>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</si>
  <si>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</si>
  <si>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</si>
  <si>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</si>
  <si>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</si>
  <si>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</si>
  <si>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</si>
  <si>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</si>
  <si>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</si>
  <si>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</si>
  <si>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</si>
  <si>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</si>
  <si>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</si>
  <si>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</si>
  <si>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</si>
  <si>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</si>
  <si>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</si>
  <si>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</si>
  <si>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</si>
  <si>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</si>
  <si>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</si>
  <si>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</si>
  <si>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</si>
  <si>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</si>
  <si>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</si>
  <si>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</si>
  <si>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</si>
  <si>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</si>
  <si>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</si>
  <si>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</si>
  <si>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</si>
  <si>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</si>
  <si>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</si>
  <si>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</si>
  <si>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</si>
  <si>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</si>
  <si>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</si>
  <si>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</si>
  <si>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</si>
  <si>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</si>
  <si>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</si>
  <si>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</si>
  <si>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</si>
  <si>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</si>
  <si>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</si>
  <si>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</si>
  <si>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</si>
  <si>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</si>
  <si>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</si>
  <si>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</si>
  <si>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</si>
  <si>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</si>
  <si>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</si>
  <si>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</si>
  <si>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</si>
  <si>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</si>
  <si>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</si>
  <si>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</si>
  <si>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</si>
  <si>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</si>
  <si>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</si>
  <si>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</si>
  <si>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</si>
  <si>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</si>
  <si>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</si>
  <si>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</si>
  <si>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</si>
  <si>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</si>
  <si>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</si>
  <si>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</si>
  <si>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</si>
  <si>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</si>
  <si>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</si>
  <si>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</si>
  <si>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</si>
  <si>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</si>
  <si>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</si>
  <si>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</si>
  <si>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</si>
  <si>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</si>
  <si>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</si>
  <si>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</si>
  <si>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</si>
  <si>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</si>
  <si>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</si>
  <si>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</si>
  <si>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</si>
  <si>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</si>
  <si>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</si>
  <si>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</si>
  <si>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</si>
  <si>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</si>
  <si>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</si>
  <si>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</si>
  <si>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</si>
  <si>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</si>
  <si>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</si>
  <si>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</si>
  <si>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</si>
  <si>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</si>
  <si>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</si>
  <si>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</si>
  <si>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</si>
  <si>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</si>
  <si>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</si>
  <si>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</si>
  <si>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</si>
  <si>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</si>
  <si>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</si>
  <si>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</si>
  <si>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</si>
  <si>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</si>
  <si>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</si>
  <si>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</si>
  <si>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</si>
  <si>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</si>
  <si>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</si>
  <si>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</si>
  <si>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</si>
  <si>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</si>
  <si>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</si>
  <si>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</si>
  <si>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</si>
  <si>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</si>
  <si>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</si>
  <si>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</si>
  <si>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</si>
  <si>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</si>
  <si>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</si>
  <si>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</si>
  <si>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</si>
  <si>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</si>
  <si>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</si>
  <si>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</si>
  <si>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</si>
  <si>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</si>
  <si>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</si>
  <si>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</si>
  <si>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</si>
  <si>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</si>
  <si>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</si>
  <si>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</si>
  <si>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</si>
  <si>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</si>
  <si>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</si>
  <si>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</si>
  <si>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</si>
  <si>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</si>
  <si>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</si>
  <si>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</si>
  <si>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</si>
  <si>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</si>
  <si>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</si>
  <si>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</si>
  <si>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</si>
  <si>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</si>
  <si>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</si>
  <si>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</si>
  <si>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</si>
  <si>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</si>
  <si>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</si>
  <si>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</si>
  <si>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</si>
  <si>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</si>
  <si>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</si>
  <si>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</si>
  <si>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</si>
  <si>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</si>
  <si>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</si>
  <si>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</si>
  <si>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</si>
  <si>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</si>
  <si>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</si>
  <si>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</si>
  <si>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</si>
  <si>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</si>
  <si>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</si>
  <si>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</si>
  <si>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</si>
  <si>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</si>
  <si>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</si>
  <si>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</si>
  <si>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</si>
  <si>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</si>
  <si>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</si>
  <si>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</si>
  <si>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</si>
  <si>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</si>
  <si>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</si>
  <si>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</si>
  <si>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</si>
  <si>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</si>
  <si>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</si>
  <si>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</si>
  <si>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</si>
  <si>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</si>
  <si>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</si>
  <si>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</si>
  <si>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</si>
  <si>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</si>
  <si>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</si>
  <si>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</si>
  <si>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</si>
  <si>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</si>
  <si>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</si>
  <si>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</si>
  <si>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</si>
  <si>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</si>
  <si>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</si>
  <si>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</si>
  <si>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</si>
  <si>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</si>
  <si>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</si>
  <si>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</si>
  <si>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13013</t>
  </si>
  <si>
    <t>HERSELT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</si>
  <si>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</si>
  <si>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</si>
  <si>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</si>
  <si>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</si>
  <si>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</si>
  <si>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</si>
  <si>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</si>
  <si>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</si>
  <si>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</si>
  <si>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</si>
  <si>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</si>
  <si>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</si>
  <si>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</si>
  <si>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Gromo bvba</t>
  </si>
  <si>
    <t>Hoog-Lachenen 65 , 2500 Lier</t>
  </si>
  <si>
    <t>WKK-0304 Gromo</t>
  </si>
  <si>
    <t>WKK interne verbrandinsgmotor (vloeibaar)</t>
  </si>
  <si>
    <t>Beningstraat 38 , 2230 Herselt</t>
  </si>
  <si>
    <t>Greenergy bvba</t>
  </si>
  <si>
    <t>Dieperstraat 110 , 2230 Herselt</t>
  </si>
  <si>
    <t>WKK-0247 Greenergy</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</si>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</sst>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13013</v>
      </c>
      <c r="B6" s="396"/>
      <c r="C6" s="397"/>
    </row>
    <row r="7" spans="1:7" s="394" customFormat="1" ht="15.75" customHeight="1">
      <c r="A7" s="398" t="str">
        <f>txtMunicipality</f>
        <v>HERSELT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13013</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5884</v>
      </c>
      <c r="C9" s="336">
        <v>6515</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1578</v>
      </c>
    </row>
    <row r="15" spans="1:6">
      <c r="A15" s="1251" t="s">
        <v>185</v>
      </c>
      <c r="B15" s="333">
        <v>2671</v>
      </c>
    </row>
    <row r="16" spans="1:6">
      <c r="A16" s="1251" t="s">
        <v>6</v>
      </c>
      <c r="B16" s="333">
        <v>635</v>
      </c>
    </row>
    <row r="17" spans="1:6">
      <c r="A17" s="1251" t="s">
        <v>7</v>
      </c>
      <c r="B17" s="333">
        <v>221</v>
      </c>
    </row>
    <row r="18" spans="1:6">
      <c r="A18" s="1251" t="s">
        <v>8</v>
      </c>
      <c r="B18" s="333">
        <v>443</v>
      </c>
    </row>
    <row r="19" spans="1:6">
      <c r="A19" s="1251" t="s">
        <v>9</v>
      </c>
      <c r="B19" s="333">
        <v>405</v>
      </c>
    </row>
    <row r="20" spans="1:6">
      <c r="A20" s="1251" t="s">
        <v>10</v>
      </c>
      <c r="B20" s="333">
        <v>237</v>
      </c>
    </row>
    <row r="21" spans="1:6">
      <c r="A21" s="1251" t="s">
        <v>11</v>
      </c>
      <c r="B21" s="333">
        <v>3286</v>
      </c>
    </row>
    <row r="22" spans="1:6">
      <c r="A22" s="1251" t="s">
        <v>12</v>
      </c>
      <c r="B22" s="333">
        <v>663</v>
      </c>
    </row>
    <row r="23" spans="1:6">
      <c r="A23" s="1251" t="s">
        <v>13</v>
      </c>
      <c r="B23" s="333">
        <v>194</v>
      </c>
    </row>
    <row r="24" spans="1:6">
      <c r="A24" s="1251" t="s">
        <v>14</v>
      </c>
      <c r="B24" s="333">
        <v>6</v>
      </c>
    </row>
    <row r="25" spans="1:6">
      <c r="A25" s="1251" t="s">
        <v>15</v>
      </c>
      <c r="B25" s="333">
        <v>1010</v>
      </c>
    </row>
    <row r="26" spans="1:6">
      <c r="A26" s="1251" t="s">
        <v>16</v>
      </c>
      <c r="B26" s="333">
        <v>130</v>
      </c>
    </row>
    <row r="27" spans="1:6">
      <c r="A27" s="1251" t="s">
        <v>17</v>
      </c>
      <c r="B27" s="333">
        <v>14</v>
      </c>
    </row>
    <row r="28" spans="1:6">
      <c r="A28" s="1251" t="s">
        <v>18</v>
      </c>
      <c r="B28" s="333">
        <v>90802</v>
      </c>
    </row>
    <row r="29" spans="1:6">
      <c r="A29" s="1251" t="s">
        <v>925</v>
      </c>
      <c r="B29" s="333">
        <v>122</v>
      </c>
    </row>
    <row r="30" spans="1:6">
      <c r="A30" s="1247" t="s">
        <v>926</v>
      </c>
      <c r="B30" s="1247">
        <v>33</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67394.069369624296</v>
      </c>
      <c r="E38" s="333">
        <v>0</v>
      </c>
      <c r="F38" s="333">
        <v>0</v>
      </c>
    </row>
    <row r="39" spans="1:6">
      <c r="A39" s="1251" t="s">
        <v>30</v>
      </c>
      <c r="B39" s="1251" t="s">
        <v>31</v>
      </c>
      <c r="C39" s="333">
        <v>1714</v>
      </c>
      <c r="D39" s="333">
        <v>28087458.951847401</v>
      </c>
      <c r="E39" s="333">
        <v>6205</v>
      </c>
      <c r="F39" s="333">
        <v>25436899.240919899</v>
      </c>
    </row>
    <row r="40" spans="1:6">
      <c r="A40" s="1251" t="s">
        <v>30</v>
      </c>
      <c r="B40" s="1251" t="s">
        <v>29</v>
      </c>
      <c r="C40" s="333">
        <v>0</v>
      </c>
      <c r="D40" s="333">
        <v>0</v>
      </c>
      <c r="E40" s="333">
        <v>0</v>
      </c>
      <c r="F40" s="333">
        <v>0</v>
      </c>
    </row>
    <row r="41" spans="1:6">
      <c r="A41" s="1251" t="s">
        <v>32</v>
      </c>
      <c r="B41" s="1251" t="s">
        <v>33</v>
      </c>
      <c r="C41" s="333">
        <v>6</v>
      </c>
      <c r="D41" s="333">
        <v>130371.933495921</v>
      </c>
      <c r="E41" s="333">
        <v>74</v>
      </c>
      <c r="F41" s="333">
        <v>752411.49418485502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6</v>
      </c>
      <c r="F44" s="333">
        <v>41680.322303356799</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15</v>
      </c>
      <c r="D48" s="333">
        <v>7485219.2653546697</v>
      </c>
      <c r="E48" s="333">
        <v>31</v>
      </c>
      <c r="F48" s="333">
        <v>4072289.62385664</v>
      </c>
    </row>
    <row r="49" spans="1:6">
      <c r="A49" s="1251" t="s">
        <v>32</v>
      </c>
      <c r="B49" s="1251" t="s">
        <v>40</v>
      </c>
      <c r="C49" s="333">
        <v>0</v>
      </c>
      <c r="D49" s="333">
        <v>0</v>
      </c>
      <c r="E49" s="333">
        <v>0</v>
      </c>
      <c r="F49" s="333">
        <v>0</v>
      </c>
    </row>
    <row r="50" spans="1:6">
      <c r="A50" s="1251" t="s">
        <v>32</v>
      </c>
      <c r="B50" s="1251" t="s">
        <v>41</v>
      </c>
      <c r="C50" s="333">
        <v>0</v>
      </c>
      <c r="D50" s="333">
        <v>0</v>
      </c>
      <c r="E50" s="333">
        <v>7</v>
      </c>
      <c r="F50" s="333">
        <v>509303.93536742299</v>
      </c>
    </row>
    <row r="51" spans="1:6">
      <c r="A51" s="1251" t="s">
        <v>42</v>
      </c>
      <c r="B51" s="1251" t="s">
        <v>43</v>
      </c>
      <c r="C51" s="333">
        <v>0</v>
      </c>
      <c r="D51" s="333">
        <v>0</v>
      </c>
      <c r="E51" s="333">
        <v>46</v>
      </c>
      <c r="F51" s="333">
        <v>1337474.2818728799</v>
      </c>
    </row>
    <row r="52" spans="1:6">
      <c r="A52" s="1251" t="s">
        <v>42</v>
      </c>
      <c r="B52" s="1251" t="s">
        <v>29</v>
      </c>
      <c r="C52" s="333">
        <v>5</v>
      </c>
      <c r="D52" s="333">
        <v>27307669.7235168</v>
      </c>
      <c r="E52" s="333">
        <v>7</v>
      </c>
      <c r="F52" s="333">
        <v>104694.300573092</v>
      </c>
    </row>
    <row r="53" spans="1:6">
      <c r="A53" s="1251" t="s">
        <v>44</v>
      </c>
      <c r="B53" s="1251" t="s">
        <v>45</v>
      </c>
      <c r="C53" s="333">
        <v>75</v>
      </c>
      <c r="D53" s="333">
        <v>1420852.6467947201</v>
      </c>
      <c r="E53" s="333">
        <v>236</v>
      </c>
      <c r="F53" s="333">
        <v>1915215.7372105799</v>
      </c>
    </row>
    <row r="54" spans="1:6">
      <c r="A54" s="1251" t="s">
        <v>46</v>
      </c>
      <c r="B54" s="1251" t="s">
        <v>47</v>
      </c>
      <c r="C54" s="333">
        <v>0</v>
      </c>
      <c r="D54" s="333">
        <v>0</v>
      </c>
      <c r="E54" s="333">
        <v>1</v>
      </c>
      <c r="F54" s="333">
        <v>1099957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15</v>
      </c>
      <c r="D57" s="333">
        <v>704856.58745215705</v>
      </c>
      <c r="E57" s="333">
        <v>55</v>
      </c>
      <c r="F57" s="333">
        <v>1022382.45793279</v>
      </c>
    </row>
    <row r="58" spans="1:6">
      <c r="A58" s="1251" t="s">
        <v>49</v>
      </c>
      <c r="B58" s="1251" t="s">
        <v>51</v>
      </c>
      <c r="C58" s="333">
        <v>3</v>
      </c>
      <c r="D58" s="333">
        <v>135617.47723205999</v>
      </c>
      <c r="E58" s="333">
        <v>12</v>
      </c>
      <c r="F58" s="333">
        <v>147711.45128937601</v>
      </c>
    </row>
    <row r="59" spans="1:6">
      <c r="A59" s="1251" t="s">
        <v>49</v>
      </c>
      <c r="B59" s="1251" t="s">
        <v>52</v>
      </c>
      <c r="C59" s="333">
        <v>13</v>
      </c>
      <c r="D59" s="333">
        <v>802702.08569647803</v>
      </c>
      <c r="E59" s="333">
        <v>115</v>
      </c>
      <c r="F59" s="333">
        <v>3471490.6615993199</v>
      </c>
    </row>
    <row r="60" spans="1:6">
      <c r="A60" s="1251" t="s">
        <v>49</v>
      </c>
      <c r="B60" s="1251" t="s">
        <v>53</v>
      </c>
      <c r="C60" s="333">
        <v>15</v>
      </c>
      <c r="D60" s="333">
        <v>566443.78228700696</v>
      </c>
      <c r="E60" s="333">
        <v>49</v>
      </c>
      <c r="F60" s="333">
        <v>1063647.0463040899</v>
      </c>
    </row>
    <row r="61" spans="1:6">
      <c r="A61" s="1251" t="s">
        <v>49</v>
      </c>
      <c r="B61" s="1251" t="s">
        <v>54</v>
      </c>
      <c r="C61" s="333">
        <v>35</v>
      </c>
      <c r="D61" s="333">
        <v>985084.53522280999</v>
      </c>
      <c r="E61" s="333">
        <v>170</v>
      </c>
      <c r="F61" s="333">
        <v>2010228.4384073999</v>
      </c>
    </row>
    <row r="62" spans="1:6">
      <c r="A62" s="1251" t="s">
        <v>49</v>
      </c>
      <c r="B62" s="1251" t="s">
        <v>55</v>
      </c>
      <c r="C62" s="333">
        <v>0</v>
      </c>
      <c r="D62" s="333">
        <v>0</v>
      </c>
      <c r="E62" s="333">
        <v>8</v>
      </c>
      <c r="F62" s="333">
        <v>53368.080203385398</v>
      </c>
    </row>
    <row r="63" spans="1:6">
      <c r="A63" s="1251" t="s">
        <v>49</v>
      </c>
      <c r="B63" s="1251" t="s">
        <v>29</v>
      </c>
      <c r="C63" s="333">
        <v>61</v>
      </c>
      <c r="D63" s="333">
        <v>5790039.8585148295</v>
      </c>
      <c r="E63" s="333">
        <v>90</v>
      </c>
      <c r="F63" s="333">
        <v>1578150.5205582399</v>
      </c>
    </row>
    <row r="64" spans="1:6">
      <c r="A64" s="1251" t="s">
        <v>56</v>
      </c>
      <c r="B64" s="1251" t="s">
        <v>57</v>
      </c>
      <c r="C64" s="333">
        <v>0</v>
      </c>
      <c r="D64" s="333">
        <v>0</v>
      </c>
      <c r="E64" s="333">
        <v>0</v>
      </c>
      <c r="F64" s="333">
        <v>0</v>
      </c>
    </row>
    <row r="65" spans="1:6">
      <c r="A65" s="1251" t="s">
        <v>56</v>
      </c>
      <c r="B65" s="1251" t="s">
        <v>29</v>
      </c>
      <c r="C65" s="333">
        <v>0</v>
      </c>
      <c r="D65" s="333">
        <v>0</v>
      </c>
      <c r="E65" s="333">
        <v>2</v>
      </c>
      <c r="F65" s="333">
        <v>59219.378907332401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5</v>
      </c>
      <c r="F68" s="333">
        <v>47713.322240032001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100564386</v>
      </c>
      <c r="E73" s="333">
        <v>104803173.74912621</v>
      </c>
      <c r="F73" s="333">
        <v>101083404</v>
      </c>
    </row>
    <row r="74" spans="1:6">
      <c r="A74" s="1251" t="s">
        <v>64</v>
      </c>
      <c r="B74" s="1251" t="s">
        <v>775</v>
      </c>
      <c r="C74" s="1262" t="s">
        <v>776</v>
      </c>
      <c r="D74" s="333">
        <v>5005000.576404877</v>
      </c>
      <c r="E74" s="333">
        <v>5408957.2583593233</v>
      </c>
      <c r="F74" s="333">
        <v>5163607.9741996406</v>
      </c>
    </row>
    <row r="75" spans="1:6">
      <c r="A75" s="1251" t="s">
        <v>65</v>
      </c>
      <c r="B75" s="1251" t="s">
        <v>773</v>
      </c>
      <c r="C75" s="1262" t="s">
        <v>777</v>
      </c>
      <c r="D75" s="333">
        <v>7417669</v>
      </c>
      <c r="E75" s="333">
        <v>7730316.9779997375</v>
      </c>
      <c r="F75" s="333">
        <v>7455949</v>
      </c>
    </row>
    <row r="76" spans="1:6">
      <c r="A76" s="1251" t="s">
        <v>65</v>
      </c>
      <c r="B76" s="1251" t="s">
        <v>775</v>
      </c>
      <c r="C76" s="1262" t="s">
        <v>778</v>
      </c>
      <c r="D76" s="333">
        <v>6816.8</v>
      </c>
      <c r="E76" s="333">
        <v>7310.0313994249491</v>
      </c>
      <c r="F76" s="333">
        <v>7006.6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356768.8471902468</v>
      </c>
      <c r="C83" s="333">
        <v>328881.09874124674</v>
      </c>
      <c r="D83" s="333">
        <v>332650.05160071881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1891.9653243989519</v>
      </c>
    </row>
    <row r="92" spans="1:6">
      <c r="A92" s="1247" t="s">
        <v>69</v>
      </c>
      <c r="B92" s="336">
        <v>702.84603730784818</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965</v>
      </c>
    </row>
    <row r="98" spans="1:6">
      <c r="A98" s="1251" t="s">
        <v>72</v>
      </c>
      <c r="B98" s="333">
        <v>9</v>
      </c>
    </row>
    <row r="99" spans="1:6">
      <c r="A99" s="1251" t="s">
        <v>73</v>
      </c>
      <c r="B99" s="333">
        <v>171</v>
      </c>
    </row>
    <row r="100" spans="1:6">
      <c r="A100" s="1251" t="s">
        <v>74</v>
      </c>
      <c r="B100" s="333">
        <v>225</v>
      </c>
    </row>
    <row r="101" spans="1:6">
      <c r="A101" s="1251" t="s">
        <v>75</v>
      </c>
      <c r="B101" s="333">
        <v>147</v>
      </c>
    </row>
    <row r="102" spans="1:6">
      <c r="A102" s="1251" t="s">
        <v>76</v>
      </c>
      <c r="B102" s="333">
        <v>58</v>
      </c>
    </row>
    <row r="103" spans="1:6">
      <c r="A103" s="1251" t="s">
        <v>77</v>
      </c>
      <c r="B103" s="333">
        <v>167</v>
      </c>
    </row>
    <row r="104" spans="1:6">
      <c r="A104" s="1251" t="s">
        <v>78</v>
      </c>
      <c r="B104" s="333">
        <v>3520</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5</v>
      </c>
      <c r="C123" s="333">
        <v>11</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48</v>
      </c>
    </row>
    <row r="130" spans="1:6">
      <c r="A130" s="1251" t="s">
        <v>296</v>
      </c>
      <c r="B130" s="333">
        <v>0</v>
      </c>
    </row>
    <row r="131" spans="1:6">
      <c r="A131" s="1251" t="s">
        <v>297</v>
      </c>
      <c r="B131" s="333">
        <v>1</v>
      </c>
    </row>
    <row r="132" spans="1:6">
      <c r="A132" s="1247" t="s">
        <v>298</v>
      </c>
      <c r="B132" s="336">
        <v>20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45935.516311556537</v>
      </c>
      <c r="C3" s="43" t="s">
        <v>171</v>
      </c>
      <c r="D3" s="43"/>
      <c r="E3" s="156"/>
      <c r="F3" s="43"/>
      <c r="G3" s="43"/>
      <c r="H3" s="43"/>
      <c r="I3" s="43"/>
      <c r="J3" s="43"/>
      <c r="K3" s="96"/>
    </row>
    <row r="4" spans="1:11">
      <c r="A4" s="364" t="s">
        <v>172</v>
      </c>
      <c r="B4" s="49">
        <f>IF(ISERROR('SEAP template'!B69),0,'SEAP template'!B69)</f>
        <v>28361.811361706801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2262.9915569145523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0.13381324178748649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3025.2830859425912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32653.928571428572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9.2646833575474999E-2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1099.9570000000001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1099.9570000000001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0.13381324178748649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147.1888119968383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25436.899240919898</v>
      </c>
      <c r="C5" s="17">
        <f>IF(ISERROR('Eigen informatie GS &amp; warmtenet'!B57),0,'Eigen informatie GS &amp; warmtenet'!B57)</f>
        <v>0</v>
      </c>
      <c r="D5" s="30">
        <f>(SUM(HH_hh_gas_kWh,HH_rest_gas_kWh)/1000)*0.902</f>
        <v>25334.887974566358</v>
      </c>
      <c r="E5" s="17">
        <f>B46*B57</f>
        <v>7818.638214770488</v>
      </c>
      <c r="F5" s="17">
        <f>B51*B62</f>
        <v>64892.51306878357</v>
      </c>
      <c r="G5" s="18"/>
      <c r="H5" s="17"/>
      <c r="I5" s="17"/>
      <c r="J5" s="17">
        <f>B50*B61+C50*C61</f>
        <v>2641.9850537292309</v>
      </c>
      <c r="K5" s="17"/>
      <c r="L5" s="17"/>
      <c r="M5" s="17"/>
      <c r="N5" s="17">
        <f>B48*B59+C48*C59</f>
        <v>19446.983383964583</v>
      </c>
      <c r="O5" s="17">
        <f>B69*B70*B71</f>
        <v>92.236666666666679</v>
      </c>
      <c r="P5" s="17">
        <f>B77*B78*B79/1000-B77*B78*B79/1000/B80</f>
        <v>476.66666666666663</v>
      </c>
    </row>
    <row r="6" spans="1:16">
      <c r="A6" s="16" t="s">
        <v>633</v>
      </c>
      <c r="B6" s="830">
        <f>kWh_PV_kleiner_dan_10kW</f>
        <v>1891.9653243989519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27328.864565318851</v>
      </c>
      <c r="C8" s="21">
        <f>C5</f>
        <v>0</v>
      </c>
      <c r="D8" s="21">
        <f>D5</f>
        <v>25334.887974566358</v>
      </c>
      <c r="E8" s="21">
        <f>E5</f>
        <v>7818.638214770488</v>
      </c>
      <c r="F8" s="21">
        <f>F5</f>
        <v>64892.51306878357</v>
      </c>
      <c r="G8" s="21"/>
      <c r="H8" s="21"/>
      <c r="I8" s="21"/>
      <c r="J8" s="21">
        <f>J5</f>
        <v>2641.9850537292309</v>
      </c>
      <c r="K8" s="21"/>
      <c r="L8" s="21">
        <f>L5</f>
        <v>0</v>
      </c>
      <c r="M8" s="21">
        <f>M5</f>
        <v>0</v>
      </c>
      <c r="N8" s="21">
        <f>N5</f>
        <v>19446.983383964583</v>
      </c>
      <c r="O8" s="21">
        <f>O5</f>
        <v>92.236666666666679</v>
      </c>
      <c r="P8" s="21">
        <f>P5</f>
        <v>476.66666666666663</v>
      </c>
    </row>
    <row r="9" spans="1:16">
      <c r="B9" s="19"/>
      <c r="C9" s="19"/>
      <c r="D9" s="260"/>
      <c r="E9" s="19"/>
      <c r="F9" s="19"/>
      <c r="G9" s="19"/>
      <c r="H9" s="19"/>
      <c r="I9" s="19"/>
      <c r="J9" s="19"/>
      <c r="K9" s="19"/>
      <c r="L9" s="19"/>
      <c r="M9" s="19"/>
      <c r="N9" s="19"/>
      <c r="O9" s="19"/>
      <c r="P9" s="19"/>
    </row>
    <row r="10" spans="1:16">
      <c r="A10" s="24" t="s">
        <v>215</v>
      </c>
      <c r="B10" s="25">
        <f ca="1">'EF ele_warmte'!B12</f>
        <v>0.13381324178748649</v>
      </c>
      <c r="C10" s="25">
        <f ca="1">'EF ele_warmte'!B22</f>
        <v>9.2646833575474999E-2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3656.9639618564834</v>
      </c>
      <c r="C12" s="23">
        <f ca="1">C10*C8</f>
        <v>0</v>
      </c>
      <c r="D12" s="23">
        <f>D8*D10</f>
        <v>5117.6473708624044</v>
      </c>
      <c r="E12" s="23">
        <f>E10*E8</f>
        <v>1774.8308747529009</v>
      </c>
      <c r="F12" s="23">
        <f>F10*F8</f>
        <v>17326.300989365212</v>
      </c>
      <c r="G12" s="23"/>
      <c r="H12" s="23"/>
      <c r="I12" s="23"/>
      <c r="J12" s="23">
        <f>J10*J8</f>
        <v>935.26270902014767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965</v>
      </c>
      <c r="C18" s="167" t="s">
        <v>111</v>
      </c>
      <c r="D18" s="229"/>
      <c r="E18" s="15"/>
    </row>
    <row r="19" spans="1:7">
      <c r="A19" s="172" t="s">
        <v>72</v>
      </c>
      <c r="B19" s="37">
        <f>aantalw2001_ander</f>
        <v>9</v>
      </c>
      <c r="C19" s="167" t="s">
        <v>111</v>
      </c>
      <c r="D19" s="230"/>
      <c r="E19" s="15"/>
    </row>
    <row r="20" spans="1:7">
      <c r="A20" s="172" t="s">
        <v>73</v>
      </c>
      <c r="B20" s="37">
        <f>aantalw2001_propaan</f>
        <v>171</v>
      </c>
      <c r="C20" s="168">
        <f>IF(ISERROR(B20/SUM($B$20,$B$21,$B$22)*100),0,B20/SUM($B$20,$B$21,$B$22)*100)</f>
        <v>31.491712707182316</v>
      </c>
      <c r="D20" s="230"/>
      <c r="E20" s="15"/>
    </row>
    <row r="21" spans="1:7">
      <c r="A21" s="172" t="s">
        <v>74</v>
      </c>
      <c r="B21" s="37">
        <f>aantalw2001_elektriciteit</f>
        <v>225</v>
      </c>
      <c r="C21" s="168">
        <f>IF(ISERROR(B21/SUM($B$20,$B$21,$B$22)*100),0,B21/SUM($B$20,$B$21,$B$22)*100)</f>
        <v>41.436464088397791</v>
      </c>
      <c r="D21" s="230"/>
      <c r="E21" s="15"/>
    </row>
    <row r="22" spans="1:7">
      <c r="A22" s="172" t="s">
        <v>75</v>
      </c>
      <c r="B22" s="37">
        <f>aantalw2001_hout</f>
        <v>147</v>
      </c>
      <c r="C22" s="168">
        <f>IF(ISERROR(B22/SUM($B$20,$B$21,$B$22)*100),0,B22/SUM($B$20,$B$21,$B$22)*100)</f>
        <v>27.071823204419886</v>
      </c>
      <c r="D22" s="230"/>
      <c r="E22" s="15"/>
    </row>
    <row r="23" spans="1:7">
      <c r="A23" s="172" t="s">
        <v>76</v>
      </c>
      <c r="B23" s="37">
        <f>aantalw2001_niet_gespec</f>
        <v>58</v>
      </c>
      <c r="C23" s="167" t="s">
        <v>111</v>
      </c>
      <c r="D23" s="229"/>
      <c r="E23" s="15"/>
    </row>
    <row r="24" spans="1:7">
      <c r="A24" s="172" t="s">
        <v>77</v>
      </c>
      <c r="B24" s="37">
        <f>aantalw2001_steenkool</f>
        <v>167</v>
      </c>
      <c r="C24" s="167" t="s">
        <v>111</v>
      </c>
      <c r="D24" s="230"/>
      <c r="E24" s="15"/>
    </row>
    <row r="25" spans="1:7">
      <c r="A25" s="172" t="s">
        <v>78</v>
      </c>
      <c r="B25" s="37">
        <f>aantalw2001_stookolie</f>
        <v>3520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5884</v>
      </c>
      <c r="C28" s="36"/>
      <c r="D28" s="229"/>
    </row>
    <row r="29" spans="1:7" s="15" customFormat="1">
      <c r="A29" s="231" t="s">
        <v>714</v>
      </c>
      <c r="B29" s="37">
        <f>SUM(HH_hh_gas_aantal,HH_rest_gas_aantal)</f>
        <v>1714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1714</v>
      </c>
      <c r="C32" s="168">
        <f>IF(ISERROR(B32/SUM($B$32,$B$34,$B$35,$B$36,$B$38,$B$39)*100),0,B32/SUM($B$32,$B$34,$B$35,$B$36,$B$38,$B$39)*100)</f>
        <v>29.254138931558288</v>
      </c>
      <c r="D32" s="234"/>
      <c r="G32" s="15"/>
    </row>
    <row r="33" spans="1:7">
      <c r="A33" s="172" t="s">
        <v>72</v>
      </c>
      <c r="B33" s="34" t="s">
        <v>111</v>
      </c>
      <c r="C33" s="168"/>
      <c r="D33" s="234"/>
      <c r="G33" s="15"/>
    </row>
    <row r="34" spans="1:7">
      <c r="A34" s="172" t="s">
        <v>73</v>
      </c>
      <c r="B34" s="33">
        <f>IF((($B$28-$B$32-$B$39-$B$77-$B$38)*C20/100)&lt;0,0,($B$28-$B$32-$B$39-$B$77-$B$38)*C20/100)</f>
        <v>380.10497237569058</v>
      </c>
      <c r="C34" s="168">
        <f>IF(ISERROR(B34/SUM($B$32,$B$34,$B$35,$B$36,$B$38,$B$39)*100),0,B34/SUM($B$32,$B$34,$B$35,$B$36,$B$38,$B$39)*100)</f>
        <v>6.4875400644425767</v>
      </c>
      <c r="D34" s="234"/>
      <c r="G34" s="15"/>
    </row>
    <row r="35" spans="1:7">
      <c r="A35" s="172" t="s">
        <v>74</v>
      </c>
      <c r="B35" s="33">
        <f>IF((($B$28-$B$32-$B$39-$B$77-$B$38)*C21/100)&lt;0,0,($B$28-$B$32-$B$39-$B$77-$B$38)*C21/100)</f>
        <v>500.13812154696132</v>
      </c>
      <c r="C35" s="168">
        <f>IF(ISERROR(B35/SUM($B$32,$B$34,$B$35,$B$36,$B$38,$B$39)*100),0,B35/SUM($B$32,$B$34,$B$35,$B$36,$B$38,$B$39)*100)</f>
        <v>8.5362369268981269</v>
      </c>
      <c r="D35" s="234"/>
      <c r="G35" s="15"/>
    </row>
    <row r="36" spans="1:7">
      <c r="A36" s="172" t="s">
        <v>75</v>
      </c>
      <c r="B36" s="33">
        <f>IF((($B$28-$B$32-$B$39-$B$77-$B$38)*C22/100)&lt;0,0,($B$28-$B$32-$B$39-$B$77-$B$38)*C22/100)</f>
        <v>326.75690607734805</v>
      </c>
      <c r="C36" s="168">
        <f>IF(ISERROR(B36/SUM($B$32,$B$34,$B$35,$B$36,$B$38,$B$39)*100),0,B36/SUM($B$32,$B$34,$B$35,$B$36,$B$38,$B$39)*100)</f>
        <v>5.5770081255734434</v>
      </c>
      <c r="D36" s="234"/>
      <c r="G36" s="15"/>
    </row>
    <row r="37" spans="1:7">
      <c r="A37" s="172" t="s">
        <v>76</v>
      </c>
      <c r="B37" s="34" t="s">
        <v>111</v>
      </c>
      <c r="C37" s="168"/>
      <c r="D37" s="174"/>
      <c r="G37" s="15"/>
    </row>
    <row r="38" spans="1:7">
      <c r="A38" s="172" t="s">
        <v>77</v>
      </c>
      <c r="B38" s="33">
        <f>IF((B24-(B29-B18)*0.1)&lt;0,0,B24-(B29-B18)*0.1)</f>
        <v>92.1</v>
      </c>
      <c r="C38" s="168">
        <f>IF(ISERROR(B38/SUM($B$32,$B$34,$B$35,$B$36,$B$38,$B$39)*100),0,B38/SUM($B$32,$B$34,$B$35,$B$36,$B$38,$B$39)*100)</f>
        <v>1.5719406041986688</v>
      </c>
      <c r="D38" s="235"/>
      <c r="G38" s="15"/>
    </row>
    <row r="39" spans="1:7">
      <c r="A39" s="172" t="s">
        <v>78</v>
      </c>
      <c r="B39" s="33">
        <f>IF((B25-(B29-B18))&lt;0,0,B25-(B29-B18)*0.9)</f>
        <v>2845.9</v>
      </c>
      <c r="C39" s="168">
        <f>IF(ISERROR(B39/SUM($B$32,$B$34,$B$35,$B$36,$B$38,$B$39)*100),0,B39/SUM($B$32,$B$34,$B$35,$B$36,$B$38,$B$39)*100)</f>
        <v>48.5731353473289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1714</v>
      </c>
      <c r="C44" s="34" t="s">
        <v>111</v>
      </c>
      <c r="D44" s="175"/>
    </row>
    <row r="45" spans="1:7">
      <c r="A45" s="172" t="s">
        <v>72</v>
      </c>
      <c r="B45" s="33" t="str">
        <f t="shared" si="0"/>
        <v>-</v>
      </c>
      <c r="C45" s="34" t="s">
        <v>111</v>
      </c>
      <c r="D45" s="175"/>
    </row>
    <row r="46" spans="1:7">
      <c r="A46" s="172" t="s">
        <v>73</v>
      </c>
      <c r="B46" s="33">
        <f t="shared" si="0"/>
        <v>380.10497237569058</v>
      </c>
      <c r="C46" s="34" t="s">
        <v>111</v>
      </c>
      <c r="D46" s="175"/>
    </row>
    <row r="47" spans="1:7">
      <c r="A47" s="172" t="s">
        <v>74</v>
      </c>
      <c r="B47" s="33">
        <f t="shared" si="0"/>
        <v>500.13812154696132</v>
      </c>
      <c r="C47" s="34" t="s">
        <v>111</v>
      </c>
      <c r="D47" s="175"/>
    </row>
    <row r="48" spans="1:7">
      <c r="A48" s="172" t="s">
        <v>75</v>
      </c>
      <c r="B48" s="33">
        <f t="shared" si="0"/>
        <v>326.75690607734805</v>
      </c>
      <c r="C48" s="33">
        <f>B48*10</f>
        <v>3267.5690607734805</v>
      </c>
      <c r="D48" s="235"/>
    </row>
    <row r="49" spans="1:6">
      <c r="A49" s="172" t="s">
        <v>76</v>
      </c>
      <c r="B49" s="33" t="str">
        <f t="shared" si="0"/>
        <v>-</v>
      </c>
      <c r="C49" s="34" t="s">
        <v>111</v>
      </c>
      <c r="D49" s="235"/>
    </row>
    <row r="50" spans="1:6">
      <c r="A50" s="172" t="s">
        <v>77</v>
      </c>
      <c r="B50" s="33">
        <f t="shared" si="0"/>
        <v>92.1</v>
      </c>
      <c r="C50" s="33">
        <f>B50*2</f>
        <v>184.2</v>
      </c>
      <c r="D50" s="235"/>
    </row>
    <row r="51" spans="1:6">
      <c r="A51" s="172" t="s">
        <v>78</v>
      </c>
      <c r="B51" s="33">
        <f t="shared" si="0"/>
        <v>2845.9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9346.9786562945992</v>
      </c>
      <c r="C5" s="17">
        <f>IF(ISERROR('Eigen informatie GS &amp; warmtenet'!B58),0,'Eigen informatie GS &amp; warmtenet'!B58)</f>
        <v>0</v>
      </c>
      <c r="D5" s="30">
        <f>SUM(D6:D12)</f>
        <v>8104.2393824176179</v>
      </c>
      <c r="E5" s="17">
        <f>SUM(E6:E12)</f>
        <v>188.37306212305901</v>
      </c>
      <c r="F5" s="17">
        <f>SUM(F6:F12)</f>
        <v>1682.7812030694877</v>
      </c>
      <c r="G5" s="18"/>
      <c r="H5" s="17"/>
      <c r="I5" s="17"/>
      <c r="J5" s="17">
        <f>SUM(J6:J12)</f>
        <v>0</v>
      </c>
      <c r="K5" s="17"/>
      <c r="L5" s="17"/>
      <c r="M5" s="17"/>
      <c r="N5" s="17">
        <f>SUM(N6:N12)</f>
        <v>298.99368918462449</v>
      </c>
      <c r="O5" s="17">
        <f>B38*B39*B40</f>
        <v>0</v>
      </c>
      <c r="P5" s="17">
        <f>B46*B47*B48/1000-B46*B47*B48/1000/B49</f>
        <v>19.066666666666666</v>
      </c>
      <c r="R5" s="32"/>
    </row>
    <row r="6" spans="1:18">
      <c r="A6" s="32" t="s">
        <v>54</v>
      </c>
      <c r="B6" s="37">
        <f>B26</f>
        <v>2010.2284384073998</v>
      </c>
      <c r="C6" s="33"/>
      <c r="D6" s="37">
        <f>IF(ISERROR(TER_kantoor_gas_kWh/1000),0,TER_kantoor_gas_kWh/1000)*0.902</f>
        <v>888.54625077097467</v>
      </c>
      <c r="E6" s="33">
        <f>$C$26*'E Balans VL '!I12/100/3.6*1000000</f>
        <v>70.365903073614646</v>
      </c>
      <c r="F6" s="33">
        <f>$C$26*('E Balans VL '!L12+'E Balans VL '!N12)/100/3.6*1000000</f>
        <v>304.79379044421319</v>
      </c>
      <c r="G6" s="34"/>
      <c r="H6" s="33"/>
      <c r="I6" s="33"/>
      <c r="J6" s="33">
        <f>$C$26*('E Balans VL '!D12+'E Balans VL '!E12)/100/3.6*1000000</f>
        <v>0</v>
      </c>
      <c r="K6" s="33"/>
      <c r="L6" s="33"/>
      <c r="M6" s="33"/>
      <c r="N6" s="33">
        <f>$C$26*'E Balans VL '!Y12/100/3.6*1000000</f>
        <v>15.538436644703907</v>
      </c>
      <c r="O6" s="33"/>
      <c r="P6" s="33"/>
      <c r="R6" s="32"/>
    </row>
    <row r="7" spans="1:18">
      <c r="A7" s="32" t="s">
        <v>53</v>
      </c>
      <c r="B7" s="37">
        <f t="shared" ref="B7:B12" si="0">B27</f>
        <v>1063.6470463040901</v>
      </c>
      <c r="C7" s="33"/>
      <c r="D7" s="37">
        <f>IF(ISERROR(TER_horeca_gas_kWh/1000),0,TER_horeca_gas_kWh/1000)*0.902</f>
        <v>510.93229162288026</v>
      </c>
      <c r="E7" s="33">
        <f>$C$27*'E Balans VL '!I9/100/3.6*1000000</f>
        <v>60.003836472847482</v>
      </c>
      <c r="F7" s="33">
        <f>$C$27*('E Balans VL '!L9+'E Balans VL '!N9)/100/3.6*1000000</f>
        <v>185.29320176450329</v>
      </c>
      <c r="G7" s="34"/>
      <c r="H7" s="33"/>
      <c r="I7" s="33"/>
      <c r="J7" s="33">
        <f>$C$27*('E Balans VL '!D9+'E Balans VL '!E9)/100/3.6*1000000</f>
        <v>0</v>
      </c>
      <c r="K7" s="33"/>
      <c r="L7" s="33"/>
      <c r="M7" s="33"/>
      <c r="N7" s="33">
        <f>$C$27*'E Balans VL '!Y9/100/3.6*1000000</f>
        <v>0</v>
      </c>
      <c r="O7" s="33"/>
      <c r="P7" s="33"/>
      <c r="R7" s="32"/>
    </row>
    <row r="8" spans="1:18">
      <c r="A8" s="6" t="s">
        <v>52</v>
      </c>
      <c r="B8" s="37">
        <f t="shared" si="0"/>
        <v>3471.49066159932</v>
      </c>
      <c r="C8" s="33"/>
      <c r="D8" s="37">
        <f>IF(ISERROR(TER_handel_gas_kWh/1000),0,TER_handel_gas_kWh/1000)*0.902</f>
        <v>724.03728129822321</v>
      </c>
      <c r="E8" s="33">
        <f>$C$28*'E Balans VL '!I13/100/3.6*1000000</f>
        <v>17.822280358315005</v>
      </c>
      <c r="F8" s="33">
        <f>$C$28*('E Balans VL '!L13+'E Balans VL '!N13)/100/3.6*1000000</f>
        <v>535.25021998150316</v>
      </c>
      <c r="G8" s="34"/>
      <c r="H8" s="33"/>
      <c r="I8" s="33"/>
      <c r="J8" s="33">
        <f>$C$28*('E Balans VL '!D13+'E Balans VL '!E13)/100/3.6*1000000</f>
        <v>0</v>
      </c>
      <c r="K8" s="33"/>
      <c r="L8" s="33"/>
      <c r="M8" s="33"/>
      <c r="N8" s="33">
        <f>$C$28*'E Balans VL '!Y13/100/3.6*1000000</f>
        <v>1.6236585576773941</v>
      </c>
      <c r="O8" s="33"/>
      <c r="P8" s="33"/>
      <c r="R8" s="32"/>
    </row>
    <row r="9" spans="1:18">
      <c r="A9" s="32" t="s">
        <v>51</v>
      </c>
      <c r="B9" s="37">
        <f t="shared" si="0"/>
        <v>147.71145128937601</v>
      </c>
      <c r="C9" s="33"/>
      <c r="D9" s="37">
        <f>IF(ISERROR(TER_gezond_gas_kWh/1000),0,TER_gezond_gas_kWh/1000)*0.902</f>
        <v>122.32696446331812</v>
      </c>
      <c r="E9" s="33">
        <f>$C$29*'E Balans VL '!I10/100/3.6*1000000</f>
        <v>6.1225344596192395E-2</v>
      </c>
      <c r="F9" s="33">
        <f>$C$29*('E Balans VL '!L10+'E Balans VL '!N10)/100/3.6*1000000</f>
        <v>36.379211987774447</v>
      </c>
      <c r="G9" s="34"/>
      <c r="H9" s="33"/>
      <c r="I9" s="33"/>
      <c r="J9" s="33">
        <f>$C$29*('E Balans VL '!D10+'E Balans VL '!E10)/100/3.6*1000000</f>
        <v>0</v>
      </c>
      <c r="K9" s="33"/>
      <c r="L9" s="33"/>
      <c r="M9" s="33"/>
      <c r="N9" s="33">
        <f>$C$29*'E Balans VL '!Y10/100/3.6*1000000</f>
        <v>1.2765925434634886</v>
      </c>
      <c r="O9" s="33"/>
      <c r="P9" s="33"/>
      <c r="R9" s="32"/>
    </row>
    <row r="10" spans="1:18">
      <c r="A10" s="32" t="s">
        <v>50</v>
      </c>
      <c r="B10" s="37">
        <f t="shared" si="0"/>
        <v>1022.3824579327901</v>
      </c>
      <c r="C10" s="33"/>
      <c r="D10" s="37">
        <f>IF(ISERROR(TER_ander_gas_kWh/1000),0,TER_ander_gas_kWh/1000)*0.902</f>
        <v>635.78064188184567</v>
      </c>
      <c r="E10" s="33">
        <f>$C$30*'E Balans VL '!I14/100/3.6*1000000</f>
        <v>6.2324686884913518</v>
      </c>
      <c r="F10" s="33">
        <f>$C$30*('E Balans VL '!L14+'E Balans VL '!N14)/100/3.6*1000000</f>
        <v>271.04759464899439</v>
      </c>
      <c r="G10" s="34"/>
      <c r="H10" s="33"/>
      <c r="I10" s="33"/>
      <c r="J10" s="33">
        <f>$C$30*('E Balans VL '!D14+'E Balans VL '!E14)/100/3.6*1000000</f>
        <v>0</v>
      </c>
      <c r="K10" s="33"/>
      <c r="L10" s="33"/>
      <c r="M10" s="33"/>
      <c r="N10" s="33">
        <f>$C$30*'E Balans VL '!Y14/100/3.6*1000000</f>
        <v>235.63706449466088</v>
      </c>
      <c r="O10" s="33"/>
      <c r="P10" s="33"/>
      <c r="R10" s="32"/>
    </row>
    <row r="11" spans="1:18">
      <c r="A11" s="32" t="s">
        <v>55</v>
      </c>
      <c r="B11" s="37">
        <f t="shared" si="0"/>
        <v>53.368080203385396</v>
      </c>
      <c r="C11" s="33"/>
      <c r="D11" s="37">
        <f>IF(ISERROR(TER_onderwijs_gas_kWh/1000),0,TER_onderwijs_gas_kWh/1000)*0.902</f>
        <v>0</v>
      </c>
      <c r="E11" s="33">
        <f>$C$31*'E Balans VL '!I11/100/3.6*1000000</f>
        <v>4.0669256020273152E-2</v>
      </c>
      <c r="F11" s="33">
        <f>$C$31*('E Balans VL '!L11+'E Balans VL '!N11)/100/3.6*1000000</f>
        <v>38.620067527654925</v>
      </c>
      <c r="G11" s="34"/>
      <c r="H11" s="33"/>
      <c r="I11" s="33"/>
      <c r="J11" s="33">
        <f>$C$31*('E Balans VL '!D11+'E Balans VL '!E11)/100/3.6*1000000</f>
        <v>0</v>
      </c>
      <c r="K11" s="33"/>
      <c r="L11" s="33"/>
      <c r="M11" s="33"/>
      <c r="N11" s="33">
        <f>$C$31*'E Balans VL '!Y11/100/3.6*1000000</f>
        <v>0.15728848709812898</v>
      </c>
      <c r="O11" s="33"/>
      <c r="P11" s="33"/>
      <c r="R11" s="32"/>
    </row>
    <row r="12" spans="1:18">
      <c r="A12" s="32" t="s">
        <v>261</v>
      </c>
      <c r="B12" s="37">
        <f t="shared" si="0"/>
        <v>1578.1505205582398</v>
      </c>
      <c r="C12" s="33"/>
      <c r="D12" s="37">
        <f>IF(ISERROR(TER_rest_gas_kWh/1000),0,TER_rest_gas_kWh/1000)*0.902</f>
        <v>5222.6159523803763</v>
      </c>
      <c r="E12" s="33">
        <f>$C$32*'E Balans VL '!I8/100/3.6*1000000</f>
        <v>33.846678929174089</v>
      </c>
      <c r="F12" s="33">
        <f>$C$32*('E Balans VL '!L8+'E Balans VL '!N8)/100/3.6*1000000</f>
        <v>311.39711671484423</v>
      </c>
      <c r="G12" s="34"/>
      <c r="H12" s="33"/>
      <c r="I12" s="33"/>
      <c r="J12" s="33">
        <f>$C$32*('E Balans VL '!D8+'E Balans VL '!E8)/100/3.6*1000000</f>
        <v>0</v>
      </c>
      <c r="K12" s="33"/>
      <c r="L12" s="33"/>
      <c r="M12" s="33"/>
      <c r="N12" s="33">
        <f>$C$32*'E Balans VL '!Y8/100/3.6*1000000</f>
        <v>44.760648457020693</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10687.978656294599</v>
      </c>
      <c r="C16" s="21">
        <f ca="1">C5+C13+C14</f>
        <v>0</v>
      </c>
      <c r="D16" s="21">
        <f t="shared" ref="D16:N16" ca="1" si="1">MAX((D5+D13+D14),0)</f>
        <v>8104.2393824176179</v>
      </c>
      <c r="E16" s="21">
        <f t="shared" si="1"/>
        <v>188.37306212305901</v>
      </c>
      <c r="F16" s="21">
        <f t="shared" ca="1" si="1"/>
        <v>1682.7812030694877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0.13381324178748649</v>
      </c>
      <c r="C18" s="25">
        <f ca="1">'EF ele_warmte'!B22</f>
        <v>9.2646833575474999E-2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1430.1930721542442</v>
      </c>
      <c r="C20" s="23">
        <f t="shared" ref="C20:P20" ca="1" si="2">C16*C18</f>
        <v>0</v>
      </c>
      <c r="D20" s="23">
        <f t="shared" ca="1" si="2"/>
        <v>1637.0563552483588</v>
      </c>
      <c r="E20" s="23">
        <f t="shared" si="2"/>
        <v>42.760685101934399</v>
      </c>
      <c r="F20" s="23">
        <f t="shared" ca="1" si="2"/>
        <v>449.30258121955325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2010.2284384073998</v>
      </c>
      <c r="C26" s="39">
        <f>IF(ISERROR(B26*3.6/1000000/'E Balans VL '!Z12*100),0,B26*3.6/1000000/'E Balans VL '!Z12*100)</f>
        <v>4.2301923773355253E-2</v>
      </c>
      <c r="D26" s="238" t="s">
        <v>720</v>
      </c>
      <c r="F26" s="6"/>
    </row>
    <row r="27" spans="1:18">
      <c r="A27" s="232" t="s">
        <v>53</v>
      </c>
      <c r="B27" s="33">
        <f>IF(ISERROR(TER_horeca_ele_kWh/1000),0,TER_horeca_ele_kWh/1000)</f>
        <v>1063.6470463040901</v>
      </c>
      <c r="C27" s="39">
        <f>IF(ISERROR(B27*3.6/1000000/'E Balans VL '!Z9*100),0,B27*3.6/1000000/'E Balans VL '!Z9*100)</f>
        <v>9.0056006590045562E-2</v>
      </c>
      <c r="D27" s="238" t="s">
        <v>720</v>
      </c>
      <c r="F27" s="6"/>
    </row>
    <row r="28" spans="1:18">
      <c r="A28" s="172" t="s">
        <v>52</v>
      </c>
      <c r="B28" s="33">
        <f>IF(ISERROR(TER_handel_ele_kWh/1000),0,TER_handel_ele_kWh/1000)</f>
        <v>3471.49066159932</v>
      </c>
      <c r="C28" s="39">
        <f>IF(ISERROR(B28*3.6/1000000/'E Balans VL '!Z13*100),0,B28*3.6/1000000/'E Balans VL '!Z13*100)</f>
        <v>9.6107738931961298E-2</v>
      </c>
      <c r="D28" s="238" t="s">
        <v>720</v>
      </c>
      <c r="F28" s="6"/>
    </row>
    <row r="29" spans="1:18">
      <c r="A29" s="232" t="s">
        <v>51</v>
      </c>
      <c r="B29" s="33">
        <f>IF(ISERROR(TER_gezond_ele_kWh/1000),0,TER_gezond_ele_kWh/1000)</f>
        <v>147.71145128937601</v>
      </c>
      <c r="C29" s="39">
        <f>IF(ISERROR(B29*3.6/1000000/'E Balans VL '!Z10*100),0,B29*3.6/1000000/'E Balans VL '!Z10*100)</f>
        <v>1.9200851095257234E-2</v>
      </c>
      <c r="D29" s="238" t="s">
        <v>720</v>
      </c>
      <c r="F29" s="6"/>
    </row>
    <row r="30" spans="1:18">
      <c r="A30" s="232" t="s">
        <v>50</v>
      </c>
      <c r="B30" s="33">
        <f>IF(ISERROR(TER_ander_ele_kWh/1000),0,TER_ander_ele_kWh/1000)</f>
        <v>1022.3824579327901</v>
      </c>
      <c r="C30" s="39">
        <f>IF(ISERROR(B30*3.6/1000000/'E Balans VL '!Z14*100),0,B30*3.6/1000000/'E Balans VL '!Z14*100)</f>
        <v>7.9244016453169863E-2</v>
      </c>
      <c r="D30" s="238" t="s">
        <v>720</v>
      </c>
      <c r="F30" s="6"/>
    </row>
    <row r="31" spans="1:18">
      <c r="A31" s="232" t="s">
        <v>55</v>
      </c>
      <c r="B31" s="33">
        <f>IF(ISERROR(TER_onderwijs_ele_kWh/1000),0,TER_onderwijs_ele_kWh/1000)</f>
        <v>53.368080203385396</v>
      </c>
      <c r="C31" s="39">
        <f>IF(ISERROR(B31*3.6/1000000/'E Balans VL '!Z11*100),0,B31*3.6/1000000/'E Balans VL '!Z11*100)</f>
        <v>1.0210223115750015E-2</v>
      </c>
      <c r="D31" s="238" t="s">
        <v>720</v>
      </c>
    </row>
    <row r="32" spans="1:18">
      <c r="A32" s="232" t="s">
        <v>261</v>
      </c>
      <c r="B32" s="33">
        <f>IF(ISERROR(TER_rest_ele_kWh/1000),0,TER_rest_ele_kWh/1000)</f>
        <v>1578.1505205582398</v>
      </c>
      <c r="C32" s="39">
        <f>IF(ISERROR(B32*3.6/1000000/'E Balans VL '!Z8*100),0,B32*3.6/1000000/'E Balans VL '!Z8*100)</f>
        <v>1.3013062928348565E-2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5375.6853757122744</v>
      </c>
      <c r="C5" s="17">
        <f>IF(ISERROR('Eigen informatie GS &amp; warmtenet'!B59),0,'Eigen informatie GS &amp; warmtenet'!B59)</f>
        <v>0</v>
      </c>
      <c r="D5" s="30">
        <f>SUM(D6:D15)</f>
        <v>6869.2632613632331</v>
      </c>
      <c r="E5" s="17">
        <f>SUM(E6:E15)</f>
        <v>54.328679439495431</v>
      </c>
      <c r="F5" s="17">
        <f>SUM(F6:F15)</f>
        <v>1489.0187580845816</v>
      </c>
      <c r="G5" s="18"/>
      <c r="H5" s="17"/>
      <c r="I5" s="17"/>
      <c r="J5" s="17">
        <f>SUM(J6:J15)</f>
        <v>30.445623674230205</v>
      </c>
      <c r="K5" s="17"/>
      <c r="L5" s="17"/>
      <c r="M5" s="17"/>
      <c r="N5" s="17">
        <f>SUM(N6:N15)</f>
        <v>136.65704035826775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41.680322303356796</v>
      </c>
      <c r="C8" s="33"/>
      <c r="D8" s="37">
        <f>IF( ISERROR(IND_metaal_Gas_kWH/1000),0,IND_metaal_Gas_kWH/1000)*0.902</f>
        <v>0</v>
      </c>
      <c r="E8" s="33">
        <f>C30*'E Balans VL '!I18/100/3.6*1000000</f>
        <v>0.29287842847972062</v>
      </c>
      <c r="F8" s="33">
        <f>C30*'E Balans VL '!L18/100/3.6*1000000+C30*'E Balans VL '!N18/100/3.6*1000000</f>
        <v>4.5762555350209206</v>
      </c>
      <c r="G8" s="34"/>
      <c r="H8" s="33"/>
      <c r="I8" s="33"/>
      <c r="J8" s="40">
        <f>C30*'E Balans VL '!D18/100/3.6*1000000+C30*'E Balans VL '!E18/100/3.6*1000000</f>
        <v>0.8599548865420148</v>
      </c>
      <c r="K8" s="33"/>
      <c r="L8" s="33"/>
      <c r="M8" s="33"/>
      <c r="N8" s="33">
        <f>C30*'E Balans VL '!Y18/100/3.6*1000000</f>
        <v>0.15622084980657377</v>
      </c>
      <c r="O8" s="33"/>
      <c r="P8" s="33"/>
      <c r="R8" s="32"/>
    </row>
    <row r="9" spans="1:18">
      <c r="A9" s="6" t="s">
        <v>33</v>
      </c>
      <c r="B9" s="37">
        <f t="shared" si="0"/>
        <v>752.41149418485497</v>
      </c>
      <c r="C9" s="33"/>
      <c r="D9" s="37">
        <f>IF( ISERROR(IND_andere_gas_kWh/1000),0,IND_andere_gas_kWh/1000)*0.902</f>
        <v>117.59548401332073</v>
      </c>
      <c r="E9" s="33">
        <f>C31*'E Balans VL '!I19/100/3.6*1000000</f>
        <v>12.637672778344331</v>
      </c>
      <c r="F9" s="33">
        <f>C31*'E Balans VL '!L19/100/3.6*1000000+C31*'E Balans VL '!N19/100/3.6*1000000</f>
        <v>588.19245199482714</v>
      </c>
      <c r="G9" s="34"/>
      <c r="H9" s="33"/>
      <c r="I9" s="33"/>
      <c r="J9" s="40">
        <f>C31*'E Balans VL '!D19/100/3.6*1000000+C31*'E Balans VL '!E19/100/3.6*1000000</f>
        <v>6.7860874949601246E-2</v>
      </c>
      <c r="K9" s="33"/>
      <c r="L9" s="33"/>
      <c r="M9" s="33"/>
      <c r="N9" s="33">
        <f>C31*'E Balans VL '!Y19/100/3.6*1000000</f>
        <v>55.765763098790664</v>
      </c>
      <c r="O9" s="33"/>
      <c r="P9" s="33"/>
      <c r="R9" s="32"/>
    </row>
    <row r="10" spans="1:18">
      <c r="A10" s="6" t="s">
        <v>41</v>
      </c>
      <c r="B10" s="37">
        <f t="shared" si="0"/>
        <v>509.30393536742298</v>
      </c>
      <c r="C10" s="33"/>
      <c r="D10" s="37">
        <f>IF( ISERROR(IND_voed_gas_kWh/1000),0,IND_voed_gas_kWh/1000)*0.902</f>
        <v>0</v>
      </c>
      <c r="E10" s="33">
        <f>C32*'E Balans VL '!I20/100/3.6*1000000</f>
        <v>4.6466774650522007</v>
      </c>
      <c r="F10" s="33">
        <f>C32*'E Balans VL '!L20/100/3.6*1000000+C32*'E Balans VL '!N20/100/3.6*1000000</f>
        <v>82.166654869602013</v>
      </c>
      <c r="G10" s="34"/>
      <c r="H10" s="33"/>
      <c r="I10" s="33"/>
      <c r="J10" s="40">
        <f>C32*'E Balans VL '!D20/100/3.6*1000000+C32*'E Balans VL '!E20/100/3.6*1000000</f>
        <v>2.0976475216662966</v>
      </c>
      <c r="K10" s="33"/>
      <c r="L10" s="33"/>
      <c r="M10" s="33"/>
      <c r="N10" s="33">
        <f>C32*'E Balans VL '!Y20/100/3.6*1000000</f>
        <v>7.4507149770011001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4072.28962385664</v>
      </c>
      <c r="C15" s="33"/>
      <c r="D15" s="37">
        <f>IF( ISERROR(IND_rest_gas_kWh/1000),0,IND_rest_gas_kWh/1000)*0.902</f>
        <v>6751.6677773499123</v>
      </c>
      <c r="E15" s="33">
        <f>C37*'E Balans VL '!I15/100/3.6*1000000</f>
        <v>36.751450767619176</v>
      </c>
      <c r="F15" s="33">
        <f>C37*'E Balans VL '!L15/100/3.6*1000000+C37*'E Balans VL '!N15/100/3.6*1000000</f>
        <v>814.08339568513156</v>
      </c>
      <c r="G15" s="34"/>
      <c r="H15" s="33"/>
      <c r="I15" s="33"/>
      <c r="J15" s="40">
        <f>C37*'E Balans VL '!D15/100/3.6*1000000+C37*'E Balans VL '!E15/100/3.6*1000000</f>
        <v>27.420160391072294</v>
      </c>
      <c r="K15" s="33"/>
      <c r="L15" s="33"/>
      <c r="M15" s="33"/>
      <c r="N15" s="33">
        <f>C37*'E Balans VL '!Y15/100/3.6*1000000</f>
        <v>73.284341432669407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5375.6853757122744</v>
      </c>
      <c r="C18" s="21">
        <f>C5+C16</f>
        <v>0</v>
      </c>
      <c r="D18" s="21">
        <f>MAX((D5+D16),0)</f>
        <v>6869.2632613632331</v>
      </c>
      <c r="E18" s="21">
        <f>MAX((E5+E16),0)</f>
        <v>54.328679439495431</v>
      </c>
      <c r="F18" s="21">
        <f>MAX((F5+F16),0)</f>
        <v>1489.0187580845816</v>
      </c>
      <c r="G18" s="21"/>
      <c r="H18" s="21"/>
      <c r="I18" s="21"/>
      <c r="J18" s="21">
        <f>MAX((J5+J16),0)</f>
        <v>30.445623674230205</v>
      </c>
      <c r="K18" s="21"/>
      <c r="L18" s="21">
        <f>MAX((L5+L16),0)</f>
        <v>0</v>
      </c>
      <c r="M18" s="21"/>
      <c r="N18" s="21">
        <f>MAX((N5+N16),0)</f>
        <v>136.65704035826775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0.13381324178748649</v>
      </c>
      <c r="C20" s="25">
        <f ca="1">'EF ele_warmte'!B22</f>
        <v>9.2646833575474999E-2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719.33788695364171</v>
      </c>
      <c r="C22" s="23">
        <f ca="1">C18*C20</f>
        <v>0</v>
      </c>
      <c r="D22" s="23">
        <f>D18*D20</f>
        <v>1387.5911787953733</v>
      </c>
      <c r="E22" s="23">
        <f>E18*E20</f>
        <v>12.332610232765463</v>
      </c>
      <c r="F22" s="23">
        <f>F18*F20</f>
        <v>397.5680084085833</v>
      </c>
      <c r="G22" s="23"/>
      <c r="H22" s="23"/>
      <c r="I22" s="23"/>
      <c r="J22" s="23">
        <f>J18*J20</f>
        <v>10.777750780677492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41.680322303356796</v>
      </c>
      <c r="C30" s="39">
        <f>IF(ISERROR(B30*3.6/1000000/'E Balans VL '!Z18*100),0,B30*3.6/1000000/'E Balans VL '!Z18*100)</f>
        <v>2.7746845078721045E-3</v>
      </c>
      <c r="D30" s="238" t="s">
        <v>720</v>
      </c>
    </row>
    <row r="31" spans="1:18">
      <c r="A31" s="6" t="s">
        <v>33</v>
      </c>
      <c r="B31" s="37">
        <f>IF( ISERROR(IND_ander_ele_kWh/1000),0,IND_ander_ele_kWh/1000)</f>
        <v>752.41149418485497</v>
      </c>
      <c r="C31" s="39">
        <f>IF(ISERROR(B31*3.6/1000000/'E Balans VL '!Z19*100),0,B31*3.6/1000000/'E Balans VL '!Z19*100)</f>
        <v>3.3351419770452494E-2</v>
      </c>
      <c r="D31" s="238" t="s">
        <v>720</v>
      </c>
    </row>
    <row r="32" spans="1:18">
      <c r="A32" s="172" t="s">
        <v>41</v>
      </c>
      <c r="B32" s="37">
        <f>IF( ISERROR(IND_voed_ele_kWh/1000),0,IND_voed_ele_kWh/1000)</f>
        <v>509.30393536742298</v>
      </c>
      <c r="C32" s="39">
        <f>IF(ISERROR(B32*3.6/1000000/'E Balans VL '!Z20*100),0,B32*3.6/1000000/'E Balans VL '!Z20*100)</f>
        <v>1.7012212445171638E-2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4072.28962385664</v>
      </c>
      <c r="C37" s="39">
        <f>IF(ISERROR(B37*3.6/1000000/'E Balans VL '!Z15*100),0,B37*3.6/1000000/'E Balans VL '!Z15*100)</f>
        <v>3.0291200474200797E-2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1442.1685824459719</v>
      </c>
      <c r="C5" s="17">
        <f>'Eigen informatie GS &amp; warmtenet'!B60</f>
        <v>0</v>
      </c>
      <c r="D5" s="30">
        <f>IF(ISERROR(SUM(LB_lb_gas_kWh,LB_rest_gas_kWh,onbekend_gas_kWh)/1000),0,SUM(LB_lb_gas_kWh,LB_rest_gas_kWh,onbekend_gas_kWh)/1000)*0.902</f>
        <v>25913.127178020994</v>
      </c>
      <c r="E5" s="17">
        <f>B17*'E Balans VL '!I25/3.6*1000000/100</f>
        <v>15.102701612140192</v>
      </c>
      <c r="F5" s="17">
        <f>B17*('E Balans VL '!L25/3.6*1000000+'E Balans VL '!N25/3.6*1000000)/100</f>
        <v>7407.2074676786679</v>
      </c>
      <c r="G5" s="18"/>
      <c r="H5" s="17"/>
      <c r="I5" s="17"/>
      <c r="J5" s="17">
        <f>('E Balans VL '!D25+'E Balans VL '!E25)/3.6*1000000*landbouw!B17/100</f>
        <v>128.79858078994937</v>
      </c>
      <c r="K5" s="17"/>
      <c r="L5" s="17">
        <f>L6*(-1)</f>
        <v>13837.5</v>
      </c>
      <c r="M5" s="17"/>
      <c r="N5" s="17">
        <f>N6*(-1)</f>
        <v>28620</v>
      </c>
      <c r="O5" s="17"/>
      <c r="P5" s="17"/>
      <c r="R5" s="32"/>
    </row>
    <row r="6" spans="1:18">
      <c r="A6" s="16" t="s">
        <v>497</v>
      </c>
      <c r="B6" s="17" t="s">
        <v>212</v>
      </c>
      <c r="C6" s="17">
        <f>'lokale energieproductie'!O91+'lokale energieproductie'!O60</f>
        <v>32653.928571428572</v>
      </c>
      <c r="D6" s="311">
        <f>('lokale energieproductie'!P60+'lokale energieproductie'!P91)*(-1)</f>
        <v>-20082.857142857145</v>
      </c>
      <c r="E6" s="249"/>
      <c r="F6" s="311">
        <f>('lokale energieproductie'!S60+'lokale energieproductie'!S91)*(-1)</f>
        <v>-4612.5</v>
      </c>
      <c r="G6" s="250"/>
      <c r="H6" s="249"/>
      <c r="I6" s="249"/>
      <c r="J6" s="249"/>
      <c r="K6" s="249"/>
      <c r="L6" s="311">
        <f>('lokale energieproductie'!T60+'lokale energieproductie'!U60+'lokale energieproductie'!T91+'lokale energieproductie'!U91)*(-1)</f>
        <v>-13837.5</v>
      </c>
      <c r="M6" s="249"/>
      <c r="N6" s="311">
        <f>('lokale energieproductie'!V60+'lokale energieproductie'!R60+'lokale energieproductie'!Q60+'lokale energieproductie'!Q91+'lokale energieproductie'!R91+'lokale energieproductie'!V91)*(-1)</f>
        <v>-28620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1442.1685824459719</v>
      </c>
      <c r="C8" s="21">
        <f>C5+C6</f>
        <v>32653.928571428572</v>
      </c>
      <c r="D8" s="21">
        <f>MAX((D5+D6),0)</f>
        <v>5830.2700351638487</v>
      </c>
      <c r="E8" s="21">
        <f>MAX((E5+E6),0)</f>
        <v>15.102701612140192</v>
      </c>
      <c r="F8" s="21">
        <f>MAX((F5+F6),0)</f>
        <v>2794.7074676786679</v>
      </c>
      <c r="G8" s="21"/>
      <c r="H8" s="21"/>
      <c r="I8" s="21"/>
      <c r="J8" s="21">
        <f>MAX((J5+J6),0)</f>
        <v>128.79858078994937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0.13381324178748649</v>
      </c>
      <c r="C10" s="31">
        <f ca="1">'EF ele_warmte'!B22</f>
        <v>9.2646833575474999E-2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192.98125322115948</v>
      </c>
      <c r="C12" s="23">
        <f ca="1">C8*C10</f>
        <v>3025.2830859425912</v>
      </c>
      <c r="D12" s="23">
        <f>D8*D10</f>
        <v>1177.7145471030974</v>
      </c>
      <c r="E12" s="23">
        <f>E8*E10</f>
        <v>3.4283132659558238</v>
      </c>
      <c r="F12" s="23">
        <f>F8*F10</f>
        <v>746.18689387020436</v>
      </c>
      <c r="G12" s="23"/>
      <c r="H12" s="23"/>
      <c r="I12" s="23"/>
      <c r="J12" s="23">
        <f>J8*J10</f>
        <v>45.594697599642075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0.22197758383667968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179.95088261799302</v>
      </c>
      <c r="C26" s="248">
        <f>B26*'GWP N2O_CH4'!B5</f>
        <v>3778.9685349778533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63.033085735975945</v>
      </c>
      <c r="C27" s="248">
        <f>B27*'GWP N2O_CH4'!B5</f>
        <v>1323.6948004554949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4.3987358875774589</v>
      </c>
      <c r="C28" s="248">
        <f>B28*'GWP N2O_CH4'!B4</f>
        <v>1363.6081251490123</v>
      </c>
      <c r="D28" s="50"/>
    </row>
    <row r="29" spans="1:4">
      <c r="A29" s="41" t="s">
        <v>278</v>
      </c>
      <c r="B29" s="248">
        <f>B34*'ha_N2O bodem landbouw'!B4</f>
        <v>14.197364413246342</v>
      </c>
      <c r="C29" s="248">
        <f>B29*'GWP N2O_CH4'!B4</f>
        <v>4401.1829681063664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2.3463009331675957E-3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3.1036744254361295E-6</v>
      </c>
      <c r="C5" s="446" t="s">
        <v>212</v>
      </c>
      <c r="D5" s="431">
        <f>SUM(D6:D11)</f>
        <v>1.4109360012427987E-5</v>
      </c>
      <c r="E5" s="431">
        <f>SUM(E6:E11)</f>
        <v>1.4530797834773927E-3</v>
      </c>
      <c r="F5" s="444" t="s">
        <v>212</v>
      </c>
      <c r="G5" s="431">
        <f>SUM(G6:G11)</f>
        <v>0.22463400687510668</v>
      </c>
      <c r="H5" s="431">
        <f>SUM(H6:H11)</f>
        <v>4.7303244495063922E-2</v>
      </c>
      <c r="I5" s="446" t="s">
        <v>212</v>
      </c>
      <c r="J5" s="446" t="s">
        <v>212</v>
      </c>
      <c r="K5" s="446" t="s">
        <v>212</v>
      </c>
      <c r="L5" s="446" t="s">
        <v>212</v>
      </c>
      <c r="M5" s="431">
        <f>SUM(M6:M11)</f>
        <v>1.1888702928096044E-2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2.8904720598055589E-6</v>
      </c>
      <c r="C6" s="432"/>
      <c r="D6" s="432">
        <f>vkm_2011_GW_PW*SUMIFS(TableVerdeelsleutelVkm[CNG],TableVerdeelsleutelVkm[Voertuigtype],"Lichte voertuigen")*SUMIFS(TableECFTransport[EnergieConsumptieFactor (PJ per km)],TableECFTransport[Index],CONCATENATE($A6,"_CNG_CNG"))</f>
        <v>1.2460489061720499E-5</v>
      </c>
      <c r="E6" s="434">
        <f>vkm_2011_GW_PW*SUMIFS(TableVerdeelsleutelVkm[LPG],TableVerdeelsleutelVkm[Voertuigtype],"Lichte voertuigen")*SUMIFS(TableECFTransport[EnergieConsumptieFactor (PJ per km)],TableECFTransport[Index],CONCATENATE($A6,"_LPG_LPG"))</f>
        <v>1.2964374309158018E-3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0.15946536308495046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4.1983925496347461E-2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8.8284736105329019E-3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4.6805335246648212E-2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1.6048900844249886E-5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2.021902784664719E-3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2.1320236563057067E-7</v>
      </c>
      <c r="C8" s="432"/>
      <c r="D8" s="434">
        <f>vkm_2011_NGW_PW*SUMIFS(TableVerdeelsleutelVkm[CNG],TableVerdeelsleutelVkm[Voertuigtype],"Lichte voertuigen")*SUMIFS(TableECFTransport[EnergieConsumptieFactor (PJ per km)],TableECFTransport[Index],CONCATENATE($A8,"_CNG_CNG"))</f>
        <v>1.6488709507074882E-6</v>
      </c>
      <c r="E8" s="434">
        <f>vkm_2011_NGW_PW*SUMIFS(TableVerdeelsleutelVkm[LPG],TableVerdeelsleutelVkm[Voertuigtype],"Lichte voertuigen")*SUMIFS(TableECFTransport[EnergieConsumptieFactor (PJ per km)],TableECFTransport[Index],CONCATENATE($A8,"_LPG_LPG"))</f>
        <v>1.5664235256159089E-4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1.8274727551933208E-2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5.3032437119219381E-3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1.0345001845053921E-3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8.8580991574793868E-5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2.6385950271911072E-8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3.8263483930301847E-6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0.86213178484336939</v>
      </c>
      <c r="C14" s="21"/>
      <c r="D14" s="21">
        <f t="shared" ref="D14:M14" si="0">((D5)*10^9/3600)+D12</f>
        <v>3.9192666701188852</v>
      </c>
      <c r="E14" s="21">
        <f t="shared" si="0"/>
        <v>403.63327318816465</v>
      </c>
      <c r="F14" s="21"/>
      <c r="G14" s="21">
        <f t="shared" si="0"/>
        <v>62398.335243085196</v>
      </c>
      <c r="H14" s="21">
        <f t="shared" si="0"/>
        <v>13139.790137517757</v>
      </c>
      <c r="I14" s="21"/>
      <c r="J14" s="21"/>
      <c r="K14" s="21"/>
      <c r="L14" s="21"/>
      <c r="M14" s="21">
        <f t="shared" si="0"/>
        <v>3302.4174800266787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0.13381324178748649</v>
      </c>
      <c r="C16" s="56">
        <f ca="1">'EF ele_warmte'!B22</f>
        <v>9.2646833575474999E-2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0.11536464897792308</v>
      </c>
      <c r="C18" s="23"/>
      <c r="D18" s="23">
        <f t="shared" ref="D18:M18" si="1">D14*D16</f>
        <v>0.79169186736401487</v>
      </c>
      <c r="E18" s="23">
        <f t="shared" si="1"/>
        <v>91.624753013713374</v>
      </c>
      <c r="F18" s="23"/>
      <c r="G18" s="23">
        <f t="shared" si="1"/>
        <v>16660.355509903748</v>
      </c>
      <c r="H18" s="23">
        <f t="shared" si="1"/>
        <v>3271.8077442419217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4.68451227002354E-3</v>
      </c>
      <c r="H50" s="322">
        <f t="shared" si="2"/>
        <v>0</v>
      </c>
      <c r="I50" s="322">
        <f t="shared" si="2"/>
        <v>0</v>
      </c>
      <c r="J50" s="322">
        <f t="shared" si="2"/>
        <v>0</v>
      </c>
      <c r="K50" s="322">
        <f t="shared" si="2"/>
        <v>0</v>
      </c>
      <c r="L50" s="322">
        <f t="shared" si="2"/>
        <v>0</v>
      </c>
      <c r="M50" s="322">
        <f t="shared" si="2"/>
        <v>1.9968040631731954E-4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4.68451227002354E-3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1.9968040631731954E-4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1301.2534083398721</v>
      </c>
      <c r="H54" s="21">
        <f t="shared" si="3"/>
        <v>0</v>
      </c>
      <c r="I54" s="21">
        <f t="shared" si="3"/>
        <v>0</v>
      </c>
      <c r="J54" s="21">
        <f t="shared" si="3"/>
        <v>0</v>
      </c>
      <c r="K54" s="21">
        <f t="shared" si="3"/>
        <v>0</v>
      </c>
      <c r="L54" s="21">
        <f t="shared" si="3"/>
        <v>0</v>
      </c>
      <c r="M54" s="21">
        <f t="shared" si="3"/>
        <v>55.46677953258876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0.13381324178748649</v>
      </c>
      <c r="C56" s="56">
        <f ca="1">'EF ele_warmte'!B22</f>
        <v>9.2646833575474999E-2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347.43466002674586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2594.8113617068002</v>
      </c>
      <c r="C6" s="1181"/>
      <c r="D6" s="1184"/>
      <c r="E6" s="1184"/>
      <c r="F6" s="1187"/>
      <c r="G6" s="1190"/>
      <c r="H6" s="1178"/>
      <c r="I6" s="1184"/>
      <c r="J6" s="1184"/>
      <c r="K6" s="1184"/>
      <c r="L6" s="1214"/>
      <c r="M6" s="559"/>
      <c r="N6" s="1226"/>
      <c r="O6" s="1227"/>
      <c r="Q6" s="557"/>
      <c r="R6" s="1211"/>
      <c r="S6" s="1211"/>
    </row>
    <row r="7" spans="1:19" s="547" customFormat="1">
      <c r="A7" s="560" t="s">
        <v>253</v>
      </c>
      <c r="B7" s="561">
        <f>N57</f>
        <v>24426</v>
      </c>
      <c r="C7" s="562">
        <f>B100</f>
        <v>8593.9818224820083</v>
      </c>
      <c r="D7" s="563"/>
      <c r="E7" s="563">
        <f>E100</f>
        <v>1973.8098455924587</v>
      </c>
      <c r="F7" s="564"/>
      <c r="G7" s="565"/>
      <c r="H7" s="563">
        <f>I100</f>
        <v>0</v>
      </c>
      <c r="I7" s="563">
        <f>G100+F100</f>
        <v>5921.4295367773757</v>
      </c>
      <c r="J7" s="563">
        <f>H100+D100+C100</f>
        <v>12247.249383383451</v>
      </c>
      <c r="K7" s="563"/>
      <c r="L7" s="566"/>
      <c r="M7" s="567">
        <f>C7*$C$11+D7*$D$11+E7*$E$11+F7*$F$11+G7*$G$11+H7*$H$11+I7*$I$11+J7*$J$11</f>
        <v>2262.9915569145523</v>
      </c>
      <c r="N7" s="1226"/>
      <c r="O7" s="1227"/>
      <c r="Q7" s="557"/>
      <c r="R7" s="1211"/>
      <c r="S7" s="1211"/>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28361.811361706801</v>
      </c>
      <c r="C9" s="578">
        <f t="shared" ref="C9:L9" si="0">SUM(C7:C8)</f>
        <v>8593.9818224820083</v>
      </c>
      <c r="D9" s="578">
        <f t="shared" si="0"/>
        <v>0</v>
      </c>
      <c r="E9" s="578">
        <f t="shared" si="0"/>
        <v>1973.8098455924587</v>
      </c>
      <c r="F9" s="578">
        <f t="shared" si="0"/>
        <v>0</v>
      </c>
      <c r="G9" s="578">
        <f t="shared" si="0"/>
        <v>0</v>
      </c>
      <c r="H9" s="578">
        <f t="shared" si="0"/>
        <v>0</v>
      </c>
      <c r="I9" s="578">
        <f t="shared" si="0"/>
        <v>5921.4295367773757</v>
      </c>
      <c r="J9" s="578">
        <f t="shared" si="0"/>
        <v>16078.677954812021</v>
      </c>
      <c r="K9" s="578">
        <f t="shared" si="0"/>
        <v>0</v>
      </c>
      <c r="L9" s="578">
        <f t="shared" si="0"/>
        <v>0</v>
      </c>
      <c r="M9" s="579">
        <f>SUM(M4:M8)</f>
        <v>2262.9915569145523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32653.928571428572</v>
      </c>
      <c r="C16" s="594">
        <f>B101</f>
        <v>11488.875320375137</v>
      </c>
      <c r="D16" s="595"/>
      <c r="E16" s="595">
        <f>E101</f>
        <v>2638.6901544075413</v>
      </c>
      <c r="F16" s="596"/>
      <c r="G16" s="597"/>
      <c r="H16" s="594">
        <f>I101</f>
        <v>0</v>
      </c>
      <c r="I16" s="595">
        <f>G101+F101</f>
        <v>7916.0704632226243</v>
      </c>
      <c r="J16" s="595">
        <f>H101+D101+C101</f>
        <v>16372.750616616549</v>
      </c>
      <c r="K16" s="595"/>
      <c r="L16" s="598"/>
      <c r="M16" s="599">
        <f>C16*$C$21+E16*$E$21+H16*$H$21+I16*$I$21+J16*$J$21+D16*$D$21+F16*$F$21+G16*$G$21+K16*$K$21+L16*$L$21</f>
        <v>3025.2830859425912</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32653.928571428572</v>
      </c>
      <c r="C19" s="577">
        <f>SUM(C16:C18)</f>
        <v>11488.875320375137</v>
      </c>
      <c r="D19" s="577">
        <f t="shared" ref="D19:M19" si="1">SUM(D16:D18)</f>
        <v>0</v>
      </c>
      <c r="E19" s="577">
        <f t="shared" si="1"/>
        <v>2638.6901544075413</v>
      </c>
      <c r="F19" s="577">
        <f t="shared" si="1"/>
        <v>0</v>
      </c>
      <c r="G19" s="577">
        <f t="shared" si="1"/>
        <v>0</v>
      </c>
      <c r="H19" s="577">
        <f t="shared" si="1"/>
        <v>0</v>
      </c>
      <c r="I19" s="577">
        <f t="shared" si="1"/>
        <v>7916.0704632226243</v>
      </c>
      <c r="J19" s="577">
        <f t="shared" si="1"/>
        <v>16372.750616616549</v>
      </c>
      <c r="K19" s="577">
        <f t="shared" si="1"/>
        <v>0</v>
      </c>
      <c r="L19" s="577">
        <f t="shared" si="1"/>
        <v>0</v>
      </c>
      <c r="M19" s="604">
        <f t="shared" si="1"/>
        <v>3025.2830859425912</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13013</v>
      </c>
      <c r="C27" s="839">
        <v>2230</v>
      </c>
      <c r="D27" s="656" t="s">
        <v>931</v>
      </c>
      <c r="E27" s="655" t="s">
        <v>932</v>
      </c>
      <c r="F27" s="655" t="s">
        <v>933</v>
      </c>
      <c r="G27" s="655" t="s">
        <v>934</v>
      </c>
      <c r="H27" s="655" t="s">
        <v>935</v>
      </c>
      <c r="I27" s="655" t="s">
        <v>932</v>
      </c>
      <c r="J27" s="838">
        <v>39923</v>
      </c>
      <c r="K27" s="838">
        <v>39923</v>
      </c>
      <c r="L27" s="655" t="s">
        <v>936</v>
      </c>
      <c r="M27" s="655">
        <v>1562</v>
      </c>
      <c r="N27" s="655">
        <v>7029</v>
      </c>
      <c r="O27" s="655">
        <v>10041.428571428572</v>
      </c>
      <c r="P27" s="655">
        <v>20082.857142857145</v>
      </c>
      <c r="Q27" s="655">
        <v>0</v>
      </c>
      <c r="R27" s="655">
        <v>0</v>
      </c>
      <c r="S27" s="655">
        <v>0</v>
      </c>
      <c r="T27" s="655">
        <v>0</v>
      </c>
      <c r="U27" s="655">
        <v>0</v>
      </c>
      <c r="V27" s="655">
        <v>0</v>
      </c>
      <c r="W27" s="655">
        <v>0</v>
      </c>
      <c r="X27" s="655">
        <v>10</v>
      </c>
      <c r="Y27" s="655" t="s">
        <v>112</v>
      </c>
      <c r="Z27" s="657" t="s">
        <v>112</v>
      </c>
    </row>
    <row r="28" spans="1:26" s="609" customFormat="1" ht="38.25">
      <c r="A28" s="608"/>
      <c r="B28" s="839">
        <v>13013</v>
      </c>
      <c r="C28" s="839">
        <v>2230</v>
      </c>
      <c r="D28" s="656" t="s">
        <v>937</v>
      </c>
      <c r="E28" s="655" t="s">
        <v>938</v>
      </c>
      <c r="F28" s="655" t="s">
        <v>939</v>
      </c>
      <c r="G28" s="655" t="s">
        <v>934</v>
      </c>
      <c r="H28" s="655" t="s">
        <v>940</v>
      </c>
      <c r="I28" s="655" t="s">
        <v>941</v>
      </c>
      <c r="J28" s="838">
        <v>40389</v>
      </c>
      <c r="K28" s="838">
        <v>40389</v>
      </c>
      <c r="L28" s="655" t="s">
        <v>936</v>
      </c>
      <c r="M28" s="655">
        <v>1640</v>
      </c>
      <c r="N28" s="655">
        <v>7380</v>
      </c>
      <c r="O28" s="655">
        <v>8302.5</v>
      </c>
      <c r="P28" s="655">
        <v>0</v>
      </c>
      <c r="Q28" s="655">
        <v>0</v>
      </c>
      <c r="R28" s="655">
        <v>0</v>
      </c>
      <c r="S28" s="655">
        <v>4612.5</v>
      </c>
      <c r="T28" s="655">
        <v>13837.5</v>
      </c>
      <c r="U28" s="655">
        <v>0</v>
      </c>
      <c r="V28" s="655">
        <v>0</v>
      </c>
      <c r="W28" s="655">
        <v>0</v>
      </c>
      <c r="X28" s="655">
        <v>10</v>
      </c>
      <c r="Y28" s="655" t="s">
        <v>112</v>
      </c>
      <c r="Z28" s="657" t="s">
        <v>112</v>
      </c>
    </row>
    <row r="29" spans="1:26" s="609" customFormat="1" ht="25.5">
      <c r="A29" s="608"/>
      <c r="B29" s="839">
        <v>13013</v>
      </c>
      <c r="C29" s="839">
        <v>2230</v>
      </c>
      <c r="D29" s="656" t="s">
        <v>942</v>
      </c>
      <c r="E29" s="655" t="s">
        <v>943</v>
      </c>
      <c r="F29" s="655" t="s">
        <v>944</v>
      </c>
      <c r="G29" s="655" t="s">
        <v>934</v>
      </c>
      <c r="H29" s="655" t="s">
        <v>935</v>
      </c>
      <c r="I29" s="655" t="s">
        <v>943</v>
      </c>
      <c r="J29" s="838">
        <v>40168</v>
      </c>
      <c r="K29" s="838">
        <v>39933</v>
      </c>
      <c r="L29" s="655" t="s">
        <v>936</v>
      </c>
      <c r="M29" s="655">
        <v>2226</v>
      </c>
      <c r="N29" s="655">
        <v>10017</v>
      </c>
      <c r="O29" s="655">
        <v>14310</v>
      </c>
      <c r="P29" s="655">
        <v>0</v>
      </c>
      <c r="Q29" s="655">
        <v>28620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5428</v>
      </c>
      <c r="N57" s="613">
        <f>SUM(N27:N56)</f>
        <v>24426</v>
      </c>
      <c r="O57" s="613">
        <f t="shared" ref="O57:W57" si="2">SUM(O27:O56)</f>
        <v>32653.928571428572</v>
      </c>
      <c r="P57" s="613">
        <f t="shared" si="2"/>
        <v>20082.857142857145</v>
      </c>
      <c r="Q57" s="613">
        <f t="shared" si="2"/>
        <v>28620</v>
      </c>
      <c r="R57" s="613">
        <f t="shared" si="2"/>
        <v>0</v>
      </c>
      <c r="S57" s="613">
        <f t="shared" si="2"/>
        <v>4612.5</v>
      </c>
      <c r="T57" s="613">
        <f t="shared" si="2"/>
        <v>13837.5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5428</v>
      </c>
      <c r="N60" s="618">
        <f t="shared" ref="N60:W60" si="4">SUMIF($Z$27:$Z$56,"landbouw",N27:N56)</f>
        <v>24426</v>
      </c>
      <c r="O60" s="618">
        <f t="shared" si="4"/>
        <v>32653.928571428572</v>
      </c>
      <c r="P60" s="618">
        <f t="shared" si="4"/>
        <v>20082.857142857145</v>
      </c>
      <c r="Q60" s="618">
        <f t="shared" si="4"/>
        <v>28620</v>
      </c>
      <c r="R60" s="618">
        <f t="shared" si="4"/>
        <v>0</v>
      </c>
      <c r="S60" s="618">
        <f t="shared" si="4"/>
        <v>4612.5</v>
      </c>
      <c r="T60" s="618">
        <f t="shared" si="4"/>
        <v>13837.5</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13013</v>
      </c>
      <c r="C63" s="839">
        <v>2230</v>
      </c>
      <c r="D63" s="658" t="s">
        <v>945</v>
      </c>
      <c r="E63" s="658" t="s">
        <v>946</v>
      </c>
      <c r="F63" s="658" t="s">
        <v>947</v>
      </c>
      <c r="G63" s="658" t="s">
        <v>948</v>
      </c>
      <c r="H63" s="658" t="s">
        <v>949</v>
      </c>
      <c r="I63" s="658" t="s">
        <v>950</v>
      </c>
      <c r="J63" s="838">
        <v>38796</v>
      </c>
      <c r="K63" s="838">
        <v>39052</v>
      </c>
      <c r="L63" s="658" t="s">
        <v>951</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0.5720737462130171</v>
      </c>
      <c r="C97" s="638">
        <f>IF(ISERROR(N57/(O57+N57)),0,N57/(N57+O57))</f>
        <v>0.4279262537869829</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8593.9818224820083</v>
      </c>
      <c r="C100" s="647">
        <f t="shared" si="9"/>
        <v>12247.249383383451</v>
      </c>
      <c r="D100" s="647">
        <f t="shared" si="9"/>
        <v>0</v>
      </c>
      <c r="E100" s="647">
        <f t="shared" si="9"/>
        <v>1973.8098455924587</v>
      </c>
      <c r="F100" s="647">
        <f t="shared" si="9"/>
        <v>5921.4295367773757</v>
      </c>
      <c r="G100" s="647">
        <f t="shared" si="9"/>
        <v>0</v>
      </c>
      <c r="H100" s="647">
        <f t="shared" si="9"/>
        <v>0</v>
      </c>
      <c r="I100" s="648">
        <f t="shared" si="9"/>
        <v>0</v>
      </c>
      <c r="J100" s="605"/>
      <c r="K100" s="605"/>
      <c r="L100" s="643"/>
      <c r="M100" s="630"/>
      <c r="N100" s="630"/>
    </row>
    <row r="101" spans="1:14" ht="15.75" thickBot="1">
      <c r="A101" s="649" t="s">
        <v>287</v>
      </c>
      <c r="B101" s="650">
        <f>$B$97*P57</f>
        <v>11488.875320375137</v>
      </c>
      <c r="C101" s="650">
        <f t="shared" ref="C101:H101" si="10">$B$97*Q57</f>
        <v>16372.750616616549</v>
      </c>
      <c r="D101" s="650">
        <f t="shared" si="10"/>
        <v>0</v>
      </c>
      <c r="E101" s="650">
        <f t="shared" si="10"/>
        <v>2638.6901544075413</v>
      </c>
      <c r="F101" s="650">
        <f t="shared" si="10"/>
        <v>7916.0704632226243</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11787.9356562946</v>
      </c>
      <c r="D10" s="702">
        <f ca="1">tertiair!C16</f>
        <v>0</v>
      </c>
      <c r="E10" s="702">
        <f ca="1">tertiair!D16</f>
        <v>8104.2393824176179</v>
      </c>
      <c r="F10" s="702">
        <f>tertiair!E16</f>
        <v>188.37306212305901</v>
      </c>
      <c r="G10" s="702">
        <f ca="1">tertiair!F16</f>
        <v>1682.7812030694877</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19.066666666666666</v>
      </c>
      <c r="R10" s="705">
        <f ca="1">SUM(C10:Q10)</f>
        <v>21782.39597057143</v>
      </c>
      <c r="S10" s="67"/>
    </row>
    <row r="11" spans="1:19" s="457" customFormat="1">
      <c r="A11" s="858" t="s">
        <v>226</v>
      </c>
      <c r="B11" s="863"/>
      <c r="C11" s="702">
        <f>huishoudens!B8</f>
        <v>27328.864565318851</v>
      </c>
      <c r="D11" s="702">
        <f>huishoudens!C8</f>
        <v>0</v>
      </c>
      <c r="E11" s="702">
        <f>huishoudens!D8</f>
        <v>25334.887974566358</v>
      </c>
      <c r="F11" s="702">
        <f>huishoudens!E8</f>
        <v>7818.638214770488</v>
      </c>
      <c r="G11" s="702">
        <f>huishoudens!F8</f>
        <v>64892.51306878357</v>
      </c>
      <c r="H11" s="702">
        <f>huishoudens!G8</f>
        <v>0</v>
      </c>
      <c r="I11" s="702">
        <f>huishoudens!H8</f>
        <v>0</v>
      </c>
      <c r="J11" s="702">
        <f>huishoudens!I8</f>
        <v>0</v>
      </c>
      <c r="K11" s="702">
        <f>huishoudens!J8</f>
        <v>2641.9850537292309</v>
      </c>
      <c r="L11" s="702">
        <f>huishoudens!K8</f>
        <v>0</v>
      </c>
      <c r="M11" s="702">
        <f>huishoudens!L8</f>
        <v>0</v>
      </c>
      <c r="N11" s="702">
        <f>huishoudens!M8</f>
        <v>0</v>
      </c>
      <c r="O11" s="702">
        <f>huishoudens!N8</f>
        <v>19446.983383964583</v>
      </c>
      <c r="P11" s="702">
        <f>huishoudens!O8</f>
        <v>92.236666666666679</v>
      </c>
      <c r="Q11" s="703">
        <f>huishoudens!P8</f>
        <v>476.66666666666663</v>
      </c>
      <c r="R11" s="705">
        <f>SUM(C11:Q11)</f>
        <v>148032.77559446639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5375.6853757122744</v>
      </c>
      <c r="D13" s="702">
        <f>industrie!C18</f>
        <v>0</v>
      </c>
      <c r="E13" s="702">
        <f>industrie!D18</f>
        <v>6869.2632613632331</v>
      </c>
      <c r="F13" s="702">
        <f>industrie!E18</f>
        <v>54.328679439495431</v>
      </c>
      <c r="G13" s="702">
        <f>industrie!F18</f>
        <v>1489.0187580845816</v>
      </c>
      <c r="H13" s="702">
        <f>industrie!G18</f>
        <v>0</v>
      </c>
      <c r="I13" s="702">
        <f>industrie!H18</f>
        <v>0</v>
      </c>
      <c r="J13" s="702">
        <f>industrie!I18</f>
        <v>0</v>
      </c>
      <c r="K13" s="702">
        <f>industrie!J18</f>
        <v>30.445623674230205</v>
      </c>
      <c r="L13" s="702">
        <f>industrie!K18</f>
        <v>0</v>
      </c>
      <c r="M13" s="702">
        <f>industrie!L18</f>
        <v>0</v>
      </c>
      <c r="N13" s="702">
        <f>industrie!M18</f>
        <v>0</v>
      </c>
      <c r="O13" s="702">
        <f>industrie!N18</f>
        <v>136.65704035826775</v>
      </c>
      <c r="P13" s="702">
        <f>industrie!O18</f>
        <v>0</v>
      </c>
      <c r="Q13" s="703">
        <f>industrie!P18</f>
        <v>0</v>
      </c>
      <c r="R13" s="705">
        <f>SUM(C13:Q13)</f>
        <v>13955.398738632082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44492.485597325722</v>
      </c>
      <c r="D15" s="707">
        <f t="shared" ref="D15:Q15" ca="1" si="0">SUM(D9:D14)</f>
        <v>0</v>
      </c>
      <c r="E15" s="707">
        <f t="shared" ca="1" si="0"/>
        <v>40308.390618347206</v>
      </c>
      <c r="F15" s="707">
        <f t="shared" si="0"/>
        <v>8061.3399563330422</v>
      </c>
      <c r="G15" s="707">
        <f t="shared" ca="1" si="0"/>
        <v>68064.313029937635</v>
      </c>
      <c r="H15" s="707">
        <f t="shared" si="0"/>
        <v>0</v>
      </c>
      <c r="I15" s="707">
        <f t="shared" si="0"/>
        <v>0</v>
      </c>
      <c r="J15" s="707">
        <f t="shared" si="0"/>
        <v>0</v>
      </c>
      <c r="K15" s="707">
        <f t="shared" si="0"/>
        <v>2672.4306774034612</v>
      </c>
      <c r="L15" s="707">
        <f t="shared" si="0"/>
        <v>0</v>
      </c>
      <c r="M15" s="707">
        <f t="shared" ca="1" si="0"/>
        <v>0</v>
      </c>
      <c r="N15" s="707">
        <f t="shared" si="0"/>
        <v>0</v>
      </c>
      <c r="O15" s="707">
        <f t="shared" ca="1" si="0"/>
        <v>19583.64042432285</v>
      </c>
      <c r="P15" s="707">
        <f t="shared" si="0"/>
        <v>92.236666666666679</v>
      </c>
      <c r="Q15" s="708">
        <f t="shared" si="0"/>
        <v>495.73333333333329</v>
      </c>
      <c r="R15" s="709">
        <f ca="1">SUM(R9:R14)</f>
        <v>183770.57030366993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1301.2534083398721</v>
      </c>
      <c r="I18" s="702">
        <f>transport!H54</f>
        <v>0</v>
      </c>
      <c r="J18" s="702">
        <f>transport!I54</f>
        <v>0</v>
      </c>
      <c r="K18" s="702">
        <f>transport!J54</f>
        <v>0</v>
      </c>
      <c r="L18" s="702">
        <f>transport!K54</f>
        <v>0</v>
      </c>
      <c r="M18" s="702">
        <f>transport!L54</f>
        <v>0</v>
      </c>
      <c r="N18" s="702">
        <f>transport!M54</f>
        <v>55.46677953258876</v>
      </c>
      <c r="O18" s="702">
        <f>transport!N54</f>
        <v>0</v>
      </c>
      <c r="P18" s="702">
        <f>transport!O54</f>
        <v>0</v>
      </c>
      <c r="Q18" s="703">
        <f>transport!P54</f>
        <v>0</v>
      </c>
      <c r="R18" s="705">
        <f>SUM(C18:Q18)</f>
        <v>1356.7201878724609</v>
      </c>
      <c r="S18" s="67"/>
    </row>
    <row r="19" spans="1:19" s="457" customFormat="1" ht="15" thickBot="1">
      <c r="A19" s="858" t="s">
        <v>308</v>
      </c>
      <c r="B19" s="863"/>
      <c r="C19" s="711">
        <f>transport!B14</f>
        <v>0.86213178484336939</v>
      </c>
      <c r="D19" s="711">
        <f>transport!C14</f>
        <v>0</v>
      </c>
      <c r="E19" s="711">
        <f>transport!D14</f>
        <v>3.9192666701188852</v>
      </c>
      <c r="F19" s="711">
        <f>transport!E14</f>
        <v>403.63327318816465</v>
      </c>
      <c r="G19" s="711">
        <f>transport!F14</f>
        <v>0</v>
      </c>
      <c r="H19" s="711">
        <f>transport!G14</f>
        <v>62398.335243085196</v>
      </c>
      <c r="I19" s="711">
        <f>transport!H14</f>
        <v>13139.790137517757</v>
      </c>
      <c r="J19" s="711">
        <f>transport!I14</f>
        <v>0</v>
      </c>
      <c r="K19" s="711">
        <f>transport!J14</f>
        <v>0</v>
      </c>
      <c r="L19" s="711">
        <f>transport!K14</f>
        <v>0</v>
      </c>
      <c r="M19" s="711">
        <f>transport!L14</f>
        <v>0</v>
      </c>
      <c r="N19" s="711">
        <f>transport!M14</f>
        <v>3302.4174800266787</v>
      </c>
      <c r="O19" s="711">
        <f>transport!N14</f>
        <v>0</v>
      </c>
      <c r="P19" s="711">
        <f>transport!O14</f>
        <v>0</v>
      </c>
      <c r="Q19" s="712">
        <f>transport!P14</f>
        <v>0</v>
      </c>
      <c r="R19" s="713">
        <f>SUM(C19:Q19)</f>
        <v>79248.957532272761</v>
      </c>
      <c r="S19" s="67"/>
    </row>
    <row r="20" spans="1:19" s="457" customFormat="1" ht="15.75" thickBot="1">
      <c r="A20" s="714" t="s">
        <v>231</v>
      </c>
      <c r="B20" s="866"/>
      <c r="C20" s="861">
        <f>SUM(C17:C19)</f>
        <v>0.86213178484336939</v>
      </c>
      <c r="D20" s="715">
        <f t="shared" ref="D20:R20" si="1">SUM(D17:D19)</f>
        <v>0</v>
      </c>
      <c r="E20" s="715">
        <f t="shared" si="1"/>
        <v>3.9192666701188852</v>
      </c>
      <c r="F20" s="715">
        <f t="shared" si="1"/>
        <v>403.63327318816465</v>
      </c>
      <c r="G20" s="715">
        <f t="shared" si="1"/>
        <v>0</v>
      </c>
      <c r="H20" s="715">
        <f t="shared" si="1"/>
        <v>63699.588651425067</v>
      </c>
      <c r="I20" s="715">
        <f t="shared" si="1"/>
        <v>13139.790137517757</v>
      </c>
      <c r="J20" s="715">
        <f t="shared" si="1"/>
        <v>0</v>
      </c>
      <c r="K20" s="715">
        <f t="shared" si="1"/>
        <v>0</v>
      </c>
      <c r="L20" s="715">
        <f t="shared" si="1"/>
        <v>0</v>
      </c>
      <c r="M20" s="715">
        <f t="shared" si="1"/>
        <v>0</v>
      </c>
      <c r="N20" s="715">
        <f t="shared" si="1"/>
        <v>3357.8842595592673</v>
      </c>
      <c r="O20" s="715">
        <f t="shared" si="1"/>
        <v>0</v>
      </c>
      <c r="P20" s="715">
        <f t="shared" si="1"/>
        <v>0</v>
      </c>
      <c r="Q20" s="716">
        <f t="shared" si="1"/>
        <v>0</v>
      </c>
      <c r="R20" s="717">
        <f t="shared" si="1"/>
        <v>80605.677720145221</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1442.1685824459719</v>
      </c>
      <c r="D22" s="711">
        <f>+landbouw!C8</f>
        <v>32653.928571428572</v>
      </c>
      <c r="E22" s="711">
        <f>+landbouw!D8</f>
        <v>5830.2700351638487</v>
      </c>
      <c r="F22" s="711">
        <f>+landbouw!E8</f>
        <v>15.102701612140192</v>
      </c>
      <c r="G22" s="711">
        <f>+landbouw!F8</f>
        <v>2794.7074676786679</v>
      </c>
      <c r="H22" s="711">
        <f>+landbouw!G8</f>
        <v>0</v>
      </c>
      <c r="I22" s="711">
        <f>+landbouw!H8</f>
        <v>0</v>
      </c>
      <c r="J22" s="711">
        <f>+landbouw!I8</f>
        <v>0</v>
      </c>
      <c r="K22" s="711">
        <f>+landbouw!J8</f>
        <v>128.79858078994937</v>
      </c>
      <c r="L22" s="711">
        <f>+landbouw!K8</f>
        <v>0</v>
      </c>
      <c r="M22" s="711">
        <f>+landbouw!L8</f>
        <v>0</v>
      </c>
      <c r="N22" s="711">
        <f>+landbouw!M8</f>
        <v>0</v>
      </c>
      <c r="O22" s="711">
        <f>+landbouw!N8</f>
        <v>0</v>
      </c>
      <c r="P22" s="711">
        <f>+landbouw!O8</f>
        <v>0</v>
      </c>
      <c r="Q22" s="712">
        <f>+landbouw!P8</f>
        <v>0</v>
      </c>
      <c r="R22" s="713">
        <f>SUM(C22:Q22)</f>
        <v>42864.97593911914</v>
      </c>
      <c r="S22" s="67"/>
    </row>
    <row r="23" spans="1:19" s="457" customFormat="1" ht="17.25" thickTop="1" thickBot="1">
      <c r="A23" s="718" t="s">
        <v>116</v>
      </c>
      <c r="B23" s="852"/>
      <c r="C23" s="719">
        <f ca="1">C20+C15+C22</f>
        <v>45935.516311556537</v>
      </c>
      <c r="D23" s="719">
        <f t="shared" ref="D23:Q23" ca="1" si="2">D20+D15+D22</f>
        <v>32653.928571428572</v>
      </c>
      <c r="E23" s="719">
        <f t="shared" ca="1" si="2"/>
        <v>46142.579920181175</v>
      </c>
      <c r="F23" s="719">
        <f t="shared" si="2"/>
        <v>8480.0759311333477</v>
      </c>
      <c r="G23" s="719">
        <f t="shared" ca="1" si="2"/>
        <v>70859.020497616308</v>
      </c>
      <c r="H23" s="719">
        <f t="shared" si="2"/>
        <v>63699.588651425067</v>
      </c>
      <c r="I23" s="719">
        <f t="shared" si="2"/>
        <v>13139.790137517757</v>
      </c>
      <c r="J23" s="719">
        <f t="shared" si="2"/>
        <v>0</v>
      </c>
      <c r="K23" s="719">
        <f t="shared" si="2"/>
        <v>2801.2292581934107</v>
      </c>
      <c r="L23" s="719">
        <f t="shared" si="2"/>
        <v>0</v>
      </c>
      <c r="M23" s="719">
        <f t="shared" ca="1" si="2"/>
        <v>0</v>
      </c>
      <c r="N23" s="719">
        <f t="shared" si="2"/>
        <v>3357.8842595592673</v>
      </c>
      <c r="O23" s="719">
        <f t="shared" ca="1" si="2"/>
        <v>19583.64042432285</v>
      </c>
      <c r="P23" s="719">
        <f t="shared" si="2"/>
        <v>92.236666666666679</v>
      </c>
      <c r="Q23" s="720">
        <f t="shared" si="2"/>
        <v>495.73333333333329</v>
      </c>
      <c r="R23" s="721">
        <f ca="1">R20+R15+R22</f>
        <v>307241.22396293428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1577.3818841510824</v>
      </c>
      <c r="D36" s="702">
        <f ca="1">tertiair!C20</f>
        <v>0</v>
      </c>
      <c r="E36" s="702">
        <f ca="1">tertiair!D20</f>
        <v>1637.0563552483588</v>
      </c>
      <c r="F36" s="702">
        <f>tertiair!E20</f>
        <v>42.760685101934399</v>
      </c>
      <c r="G36" s="702">
        <f ca="1">tertiair!F20</f>
        <v>449.30258121955325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3706.5015057209289</v>
      </c>
    </row>
    <row r="37" spans="1:18">
      <c r="A37" s="873" t="s">
        <v>226</v>
      </c>
      <c r="B37" s="880"/>
      <c r="C37" s="702">
        <f ca="1">huishoudens!B12</f>
        <v>3656.9639618564834</v>
      </c>
      <c r="D37" s="702">
        <f ca="1">huishoudens!C12</f>
        <v>0</v>
      </c>
      <c r="E37" s="702">
        <f>huishoudens!D12</f>
        <v>5117.6473708624044</v>
      </c>
      <c r="F37" s="702">
        <f>huishoudens!E12</f>
        <v>1774.8308747529009</v>
      </c>
      <c r="G37" s="702">
        <f>huishoudens!F12</f>
        <v>17326.300989365212</v>
      </c>
      <c r="H37" s="702">
        <f>huishoudens!G12</f>
        <v>0</v>
      </c>
      <c r="I37" s="702">
        <f>huishoudens!H12</f>
        <v>0</v>
      </c>
      <c r="J37" s="702">
        <f>huishoudens!I12</f>
        <v>0</v>
      </c>
      <c r="K37" s="702">
        <f>huishoudens!J12</f>
        <v>935.26270902014767</v>
      </c>
      <c r="L37" s="702">
        <f>huishoudens!K12</f>
        <v>0</v>
      </c>
      <c r="M37" s="702">
        <f>huishoudens!L12</f>
        <v>0</v>
      </c>
      <c r="N37" s="702">
        <f>huishoudens!M12</f>
        <v>0</v>
      </c>
      <c r="O37" s="702">
        <f>huishoudens!N12</f>
        <v>0</v>
      </c>
      <c r="P37" s="702">
        <f>huishoudens!O12</f>
        <v>0</v>
      </c>
      <c r="Q37" s="812">
        <f>huishoudens!P12</f>
        <v>0</v>
      </c>
      <c r="R37" s="905">
        <f ca="1">SUM(C37:Q37)</f>
        <v>28811.00590585715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719.33788695364171</v>
      </c>
      <c r="D39" s="702">
        <f ca="1">industrie!C22</f>
        <v>0</v>
      </c>
      <c r="E39" s="702">
        <f>industrie!D22</f>
        <v>1387.5911787953733</v>
      </c>
      <c r="F39" s="702">
        <f>industrie!E22</f>
        <v>12.332610232765463</v>
      </c>
      <c r="G39" s="702">
        <f>industrie!F22</f>
        <v>397.5680084085833</v>
      </c>
      <c r="H39" s="702">
        <f>industrie!G22</f>
        <v>0</v>
      </c>
      <c r="I39" s="702">
        <f>industrie!H22</f>
        <v>0</v>
      </c>
      <c r="J39" s="702">
        <f>industrie!I22</f>
        <v>0</v>
      </c>
      <c r="K39" s="702">
        <f>industrie!J22</f>
        <v>10.777750780677492</v>
      </c>
      <c r="L39" s="702">
        <f>industrie!K22</f>
        <v>0</v>
      </c>
      <c r="M39" s="702">
        <f>industrie!L22</f>
        <v>0</v>
      </c>
      <c r="N39" s="702">
        <f>industrie!M22</f>
        <v>0</v>
      </c>
      <c r="O39" s="702">
        <f>industrie!N22</f>
        <v>0</v>
      </c>
      <c r="P39" s="702">
        <f>industrie!O22</f>
        <v>0</v>
      </c>
      <c r="Q39" s="812">
        <f>industrie!P22</f>
        <v>0</v>
      </c>
      <c r="R39" s="906">
        <f ca="1">SUM(C39:Q39)</f>
        <v>2527.6074351710417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5953.6837329612072</v>
      </c>
      <c r="D41" s="747">
        <f t="shared" ref="D41:R41" ca="1" si="4">SUM(D35:D40)</f>
        <v>0</v>
      </c>
      <c r="E41" s="747">
        <f t="shared" ca="1" si="4"/>
        <v>8142.2949049061372</v>
      </c>
      <c r="F41" s="747">
        <f t="shared" si="4"/>
        <v>1829.9241700876007</v>
      </c>
      <c r="G41" s="747">
        <f t="shared" ca="1" si="4"/>
        <v>18173.171578993348</v>
      </c>
      <c r="H41" s="747">
        <f t="shared" si="4"/>
        <v>0</v>
      </c>
      <c r="I41" s="747">
        <f t="shared" si="4"/>
        <v>0</v>
      </c>
      <c r="J41" s="747">
        <f t="shared" si="4"/>
        <v>0</v>
      </c>
      <c r="K41" s="747">
        <f t="shared" si="4"/>
        <v>946.04045980082515</v>
      </c>
      <c r="L41" s="747">
        <f t="shared" si="4"/>
        <v>0</v>
      </c>
      <c r="M41" s="747">
        <f t="shared" ca="1" si="4"/>
        <v>0</v>
      </c>
      <c r="N41" s="747">
        <f t="shared" si="4"/>
        <v>0</v>
      </c>
      <c r="O41" s="747">
        <f t="shared" ca="1" si="4"/>
        <v>0</v>
      </c>
      <c r="P41" s="747">
        <f t="shared" si="4"/>
        <v>0</v>
      </c>
      <c r="Q41" s="748">
        <f t="shared" si="4"/>
        <v>0</v>
      </c>
      <c r="R41" s="749">
        <f t="shared" ca="1" si="4"/>
        <v>35045.114846749122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347.43466002674586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347.43466002674586</v>
      </c>
    </row>
    <row r="45" spans="1:18" ht="15" thickBot="1">
      <c r="A45" s="876" t="s">
        <v>308</v>
      </c>
      <c r="B45" s="886"/>
      <c r="C45" s="711">
        <f ca="1">transport!B18</f>
        <v>0.11536464897792308</v>
      </c>
      <c r="D45" s="711">
        <f>transport!C18</f>
        <v>0</v>
      </c>
      <c r="E45" s="711">
        <f>transport!D18</f>
        <v>0.79169186736401487</v>
      </c>
      <c r="F45" s="711">
        <f>transport!E18</f>
        <v>91.624753013713374</v>
      </c>
      <c r="G45" s="711">
        <f>transport!F18</f>
        <v>0</v>
      </c>
      <c r="H45" s="711">
        <f>transport!G18</f>
        <v>16660.355509903748</v>
      </c>
      <c r="I45" s="711">
        <f>transport!H18</f>
        <v>3271.8077442419217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20024.695063675725</v>
      </c>
    </row>
    <row r="46" spans="1:18" ht="15.75" thickBot="1">
      <c r="A46" s="874" t="s">
        <v>231</v>
      </c>
      <c r="B46" s="887"/>
      <c r="C46" s="747">
        <f t="shared" ref="C46:R46" ca="1" si="5">SUM(C43:C45)</f>
        <v>0.11536464897792308</v>
      </c>
      <c r="D46" s="747">
        <f t="shared" ca="1" si="5"/>
        <v>0</v>
      </c>
      <c r="E46" s="747">
        <f t="shared" si="5"/>
        <v>0.79169186736401487</v>
      </c>
      <c r="F46" s="747">
        <f t="shared" si="5"/>
        <v>91.624753013713374</v>
      </c>
      <c r="G46" s="747">
        <f t="shared" si="5"/>
        <v>0</v>
      </c>
      <c r="H46" s="747">
        <f t="shared" si="5"/>
        <v>17007.790169930493</v>
      </c>
      <c r="I46" s="747">
        <f t="shared" si="5"/>
        <v>3271.8077442419217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20372.12972370247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192.98125322115948</v>
      </c>
      <c r="D48" s="702">
        <f ca="1">+landbouw!C12</f>
        <v>3025.2830859425912</v>
      </c>
      <c r="E48" s="702">
        <f>+landbouw!D12</f>
        <v>1177.7145471030974</v>
      </c>
      <c r="F48" s="702">
        <f>+landbouw!E12</f>
        <v>3.4283132659558238</v>
      </c>
      <c r="G48" s="702">
        <f>+landbouw!F12</f>
        <v>746.18689387020436</v>
      </c>
      <c r="H48" s="702">
        <f>+landbouw!G12</f>
        <v>0</v>
      </c>
      <c r="I48" s="702">
        <f>+landbouw!H12</f>
        <v>0</v>
      </c>
      <c r="J48" s="702">
        <f>+landbouw!I12</f>
        <v>0</v>
      </c>
      <c r="K48" s="702">
        <f>+landbouw!J12</f>
        <v>45.594697599642075</v>
      </c>
      <c r="L48" s="702">
        <f>+landbouw!K12</f>
        <v>0</v>
      </c>
      <c r="M48" s="702">
        <f>+landbouw!L12</f>
        <v>0</v>
      </c>
      <c r="N48" s="702">
        <f>+landbouw!M12</f>
        <v>0</v>
      </c>
      <c r="O48" s="702">
        <f>+landbouw!N12</f>
        <v>0</v>
      </c>
      <c r="P48" s="702">
        <f>+landbouw!O12</f>
        <v>0</v>
      </c>
      <c r="Q48" s="703">
        <f>+landbouw!P12</f>
        <v>0</v>
      </c>
      <c r="R48" s="745">
        <f ca="1">SUM(C48:Q48)</f>
        <v>5191.1887910026508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6146.7803508313445</v>
      </c>
      <c r="D53" s="757">
        <f t="shared" ref="D53:Q53" ca="1" si="6">D41+D46+D48</f>
        <v>3025.2830859425912</v>
      </c>
      <c r="E53" s="757">
        <f t="shared" ca="1" si="6"/>
        <v>9320.8011438765989</v>
      </c>
      <c r="F53" s="757">
        <f t="shared" si="6"/>
        <v>1924.9772363672701</v>
      </c>
      <c r="G53" s="757">
        <f t="shared" ca="1" si="6"/>
        <v>18919.358472863551</v>
      </c>
      <c r="H53" s="757">
        <f t="shared" si="6"/>
        <v>17007.790169930493</v>
      </c>
      <c r="I53" s="757">
        <f t="shared" si="6"/>
        <v>3271.8077442419217</v>
      </c>
      <c r="J53" s="757">
        <f t="shared" si="6"/>
        <v>0</v>
      </c>
      <c r="K53" s="757">
        <f t="shared" si="6"/>
        <v>991.63515740046728</v>
      </c>
      <c r="L53" s="757">
        <f t="shared" si="6"/>
        <v>0</v>
      </c>
      <c r="M53" s="757">
        <f t="shared" ca="1" si="6"/>
        <v>0</v>
      </c>
      <c r="N53" s="757">
        <f t="shared" si="6"/>
        <v>0</v>
      </c>
      <c r="O53" s="757">
        <f t="shared" ca="1" si="6"/>
        <v>0</v>
      </c>
      <c r="P53" s="757">
        <f>P41+P46+P48</f>
        <v>0</v>
      </c>
      <c r="Q53" s="758">
        <f t="shared" si="6"/>
        <v>0</v>
      </c>
      <c r="R53" s="759">
        <f ca="1">R41+R46+R48</f>
        <v>60608.433361454241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0.13381324178748649</v>
      </c>
      <c r="D55" s="823">
        <f t="shared" ca="1" si="7"/>
        <v>9.2646833575474999E-2</v>
      </c>
      <c r="E55" s="823">
        <f t="shared" ca="1" si="7"/>
        <v>0.20200000000000004</v>
      </c>
      <c r="F55" s="823">
        <f t="shared" si="7"/>
        <v>0.22700000000000001</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2594.8113617068002</v>
      </c>
      <c r="C66" s="779">
        <f>'lokale energieproductie'!B6</f>
        <v>2594.8113617068002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24426</v>
      </c>
      <c r="C67" s="778">
        <f>B67*IFERROR(SUM(J67:L67)/SUM(D67:M67),0)</f>
        <v>15443.377082136703</v>
      </c>
      <c r="D67" s="810">
        <f>'lokale energieproductie'!C7</f>
        <v>8593.9818224820083</v>
      </c>
      <c r="E67" s="811">
        <f>'lokale energieproductie'!D7</f>
        <v>0</v>
      </c>
      <c r="F67" s="811">
        <f>'lokale energieproductie'!E7</f>
        <v>1973.8098455924587</v>
      </c>
      <c r="G67" s="811">
        <f>'lokale energieproductie'!F7</f>
        <v>0</v>
      </c>
      <c r="H67" s="811">
        <f>'lokale energieproductie'!G7</f>
        <v>0</v>
      </c>
      <c r="I67" s="811">
        <f>'lokale energieproductie'!H7</f>
        <v>0</v>
      </c>
      <c r="J67" s="811">
        <f>'lokale energieproductie'!I7</f>
        <v>5921.4295367773757</v>
      </c>
      <c r="K67" s="811">
        <f>'lokale energieproductie'!J7</f>
        <v>12247.249383383451</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2262.9915569145523</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28361.811361706801</v>
      </c>
      <c r="C69" s="787">
        <f>SUM(C64:C68)</f>
        <v>19379.188443843505</v>
      </c>
      <c r="D69" s="788">
        <f t="shared" ref="D69:M69" si="8">SUM(D67:D68)</f>
        <v>8593.9818224820083</v>
      </c>
      <c r="E69" s="788">
        <f t="shared" si="8"/>
        <v>0</v>
      </c>
      <c r="F69" s="788">
        <f t="shared" si="8"/>
        <v>1973.8098455924587</v>
      </c>
      <c r="G69" s="788">
        <f t="shared" si="8"/>
        <v>0</v>
      </c>
      <c r="H69" s="788">
        <f t="shared" si="8"/>
        <v>0</v>
      </c>
      <c r="I69" s="788">
        <f t="shared" si="8"/>
        <v>0</v>
      </c>
      <c r="J69" s="788">
        <f t="shared" si="8"/>
        <v>5921.4295367773757</v>
      </c>
      <c r="K69" s="788">
        <f t="shared" si="8"/>
        <v>16078.677954812021</v>
      </c>
      <c r="L69" s="788">
        <f t="shared" si="8"/>
        <v>0</v>
      </c>
      <c r="M69" s="918">
        <f t="shared" si="8"/>
        <v>0</v>
      </c>
      <c r="N69" s="789">
        <v>0</v>
      </c>
      <c r="O69" s="789">
        <f>SUM(O67:O68)</f>
        <v>2262.9915569145523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32653.928571428572</v>
      </c>
      <c r="C78" s="801">
        <f>B78*IFERROR(SUM(I78:L78)/SUM(D78:M78),0)</f>
        <v>20645.497917863297</v>
      </c>
      <c r="D78" s="816">
        <f>'lokale energieproductie'!C16</f>
        <v>11488.875320375137</v>
      </c>
      <c r="E78" s="816">
        <f>'lokale energieproductie'!D16</f>
        <v>0</v>
      </c>
      <c r="F78" s="816">
        <f>'lokale energieproductie'!E16</f>
        <v>2638.6901544075413</v>
      </c>
      <c r="G78" s="816">
        <f>'lokale energieproductie'!F16</f>
        <v>0</v>
      </c>
      <c r="H78" s="816">
        <f>'lokale energieproductie'!G16</f>
        <v>0</v>
      </c>
      <c r="I78" s="816">
        <f>'lokale energieproductie'!H16</f>
        <v>0</v>
      </c>
      <c r="J78" s="816">
        <f>'lokale energieproductie'!I16</f>
        <v>7916.0704632226243</v>
      </c>
      <c r="K78" s="816">
        <f>'lokale energieproductie'!J16</f>
        <v>16372.750616616549</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3025.2830859425912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32653.928571428572</v>
      </c>
      <c r="C81" s="787">
        <f>SUM(C78:C80)</f>
        <v>20645.497917863297</v>
      </c>
      <c r="D81" s="787">
        <f t="shared" ref="D81:P81" si="9">SUM(D78:D80)</f>
        <v>11488.875320375137</v>
      </c>
      <c r="E81" s="787">
        <f t="shared" si="9"/>
        <v>0</v>
      </c>
      <c r="F81" s="787">
        <f t="shared" si="9"/>
        <v>2638.6901544075413</v>
      </c>
      <c r="G81" s="787">
        <f t="shared" si="9"/>
        <v>0</v>
      </c>
      <c r="H81" s="787">
        <f t="shared" si="9"/>
        <v>0</v>
      </c>
      <c r="I81" s="787">
        <f t="shared" si="9"/>
        <v>0</v>
      </c>
      <c r="J81" s="787">
        <f t="shared" si="9"/>
        <v>7916.0704632226243</v>
      </c>
      <c r="K81" s="787">
        <f t="shared" si="9"/>
        <v>16372.750616616549</v>
      </c>
      <c r="L81" s="787">
        <f t="shared" si="9"/>
        <v>0</v>
      </c>
      <c r="M81" s="787">
        <f t="shared" si="9"/>
        <v>0</v>
      </c>
      <c r="N81" s="787">
        <v>0</v>
      </c>
      <c r="O81" s="787">
        <f>SUM(O78:O80)</f>
        <v>3025.2830859425912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27328.864565318851</v>
      </c>
      <c r="C4" s="461">
        <f>huishoudens!C8</f>
        <v>0</v>
      </c>
      <c r="D4" s="461">
        <f>huishoudens!D8</f>
        <v>25334.887974566358</v>
      </c>
      <c r="E4" s="461">
        <f>huishoudens!E8</f>
        <v>7818.638214770488</v>
      </c>
      <c r="F4" s="461">
        <f>huishoudens!F8</f>
        <v>64892.51306878357</v>
      </c>
      <c r="G4" s="461">
        <f>huishoudens!G8</f>
        <v>0</v>
      </c>
      <c r="H4" s="461">
        <f>huishoudens!H8</f>
        <v>0</v>
      </c>
      <c r="I4" s="461">
        <f>huishoudens!I8</f>
        <v>0</v>
      </c>
      <c r="J4" s="461">
        <f>huishoudens!J8</f>
        <v>2641.9850537292309</v>
      </c>
      <c r="K4" s="461">
        <f>huishoudens!K8</f>
        <v>0</v>
      </c>
      <c r="L4" s="461">
        <f>huishoudens!L8</f>
        <v>0</v>
      </c>
      <c r="M4" s="461">
        <f>huishoudens!M8</f>
        <v>0</v>
      </c>
      <c r="N4" s="461">
        <f>huishoudens!N8</f>
        <v>19446.983383964583</v>
      </c>
      <c r="O4" s="461">
        <f>huishoudens!O8</f>
        <v>92.236666666666679</v>
      </c>
      <c r="P4" s="462">
        <f>huishoudens!P8</f>
        <v>476.66666666666663</v>
      </c>
      <c r="Q4" s="463">
        <f>SUM(B4:P4)</f>
        <v>148032.77559446639</v>
      </c>
    </row>
    <row r="5" spans="1:17">
      <c r="A5" s="460" t="s">
        <v>156</v>
      </c>
      <c r="B5" s="461">
        <f ca="1">tertiair!B16</f>
        <v>10687.978656294599</v>
      </c>
      <c r="C5" s="461">
        <f ca="1">tertiair!C16</f>
        <v>0</v>
      </c>
      <c r="D5" s="461">
        <f ca="1">tertiair!D16</f>
        <v>8104.2393824176179</v>
      </c>
      <c r="E5" s="461">
        <f>tertiair!E16</f>
        <v>188.37306212305901</v>
      </c>
      <c r="F5" s="461">
        <f ca="1">tertiair!F16</f>
        <v>1682.7812030694877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19.066666666666666</v>
      </c>
      <c r="Q5" s="460">
        <f t="shared" ref="Q5:Q13" ca="1" si="0">SUM(B5:P5)</f>
        <v>20682.438970571431</v>
      </c>
    </row>
    <row r="6" spans="1:17">
      <c r="A6" s="460" t="s">
        <v>195</v>
      </c>
      <c r="B6" s="461">
        <f>'openbare verlichting'!B8</f>
        <v>1099.9570000000001</v>
      </c>
      <c r="C6" s="461"/>
      <c r="D6" s="461"/>
      <c r="E6" s="461"/>
      <c r="F6" s="461"/>
      <c r="G6" s="461"/>
      <c r="H6" s="461"/>
      <c r="I6" s="461"/>
      <c r="J6" s="461"/>
      <c r="K6" s="461"/>
      <c r="L6" s="461"/>
      <c r="M6" s="461"/>
      <c r="N6" s="461"/>
      <c r="O6" s="461"/>
      <c r="P6" s="462"/>
      <c r="Q6" s="460">
        <f t="shared" si="0"/>
        <v>1099.9570000000001</v>
      </c>
    </row>
    <row r="7" spans="1:17">
      <c r="A7" s="460" t="s">
        <v>112</v>
      </c>
      <c r="B7" s="461">
        <f>landbouw!B8</f>
        <v>1442.1685824459719</v>
      </c>
      <c r="C7" s="461">
        <f>landbouw!C8</f>
        <v>32653.928571428572</v>
      </c>
      <c r="D7" s="461">
        <f>landbouw!D8</f>
        <v>5830.2700351638487</v>
      </c>
      <c r="E7" s="461">
        <f>landbouw!E8</f>
        <v>15.102701612140192</v>
      </c>
      <c r="F7" s="461">
        <f>landbouw!F8</f>
        <v>2794.7074676786679</v>
      </c>
      <c r="G7" s="461">
        <f>landbouw!G8</f>
        <v>0</v>
      </c>
      <c r="H7" s="461">
        <f>landbouw!H8</f>
        <v>0</v>
      </c>
      <c r="I7" s="461">
        <f>landbouw!I8</f>
        <v>0</v>
      </c>
      <c r="J7" s="461">
        <f>landbouw!J8</f>
        <v>128.79858078994937</v>
      </c>
      <c r="K7" s="461">
        <f>landbouw!K8</f>
        <v>0</v>
      </c>
      <c r="L7" s="461">
        <f>landbouw!L8</f>
        <v>0</v>
      </c>
      <c r="M7" s="461">
        <f>landbouw!M8</f>
        <v>0</v>
      </c>
      <c r="N7" s="461">
        <f>landbouw!N8</f>
        <v>0</v>
      </c>
      <c r="O7" s="461">
        <f>landbouw!O8</f>
        <v>0</v>
      </c>
      <c r="P7" s="462">
        <f>landbouw!P8</f>
        <v>0</v>
      </c>
      <c r="Q7" s="460">
        <f t="shared" si="0"/>
        <v>42864.97593911914</v>
      </c>
    </row>
    <row r="8" spans="1:17">
      <c r="A8" s="460" t="s">
        <v>656</v>
      </c>
      <c r="B8" s="461">
        <f>industrie!B18</f>
        <v>5375.6853757122744</v>
      </c>
      <c r="C8" s="461">
        <f>industrie!C18</f>
        <v>0</v>
      </c>
      <c r="D8" s="461">
        <f>industrie!D18</f>
        <v>6869.2632613632331</v>
      </c>
      <c r="E8" s="461">
        <f>industrie!E18</f>
        <v>54.328679439495431</v>
      </c>
      <c r="F8" s="461">
        <f>industrie!F18</f>
        <v>1489.0187580845816</v>
      </c>
      <c r="G8" s="461">
        <f>industrie!G18</f>
        <v>0</v>
      </c>
      <c r="H8" s="461">
        <f>industrie!H18</f>
        <v>0</v>
      </c>
      <c r="I8" s="461">
        <f>industrie!I18</f>
        <v>0</v>
      </c>
      <c r="J8" s="461">
        <f>industrie!J18</f>
        <v>30.445623674230205</v>
      </c>
      <c r="K8" s="461">
        <f>industrie!K18</f>
        <v>0</v>
      </c>
      <c r="L8" s="461">
        <f>industrie!L18</f>
        <v>0</v>
      </c>
      <c r="M8" s="461">
        <f>industrie!M18</f>
        <v>0</v>
      </c>
      <c r="N8" s="461">
        <f>industrie!N18</f>
        <v>136.65704035826775</v>
      </c>
      <c r="O8" s="461">
        <f>industrie!O18</f>
        <v>0</v>
      </c>
      <c r="P8" s="462">
        <f>industrie!P18</f>
        <v>0</v>
      </c>
      <c r="Q8" s="460">
        <f t="shared" si="0"/>
        <v>13955.398738632082</v>
      </c>
    </row>
    <row r="9" spans="1:17" s="466" customFormat="1">
      <c r="A9" s="464" t="s">
        <v>574</v>
      </c>
      <c r="B9" s="465">
        <f>transport!B14</f>
        <v>0.86213178484336939</v>
      </c>
      <c r="C9" s="465"/>
      <c r="D9" s="465">
        <f>transport!D14</f>
        <v>3.9192666701188852</v>
      </c>
      <c r="E9" s="465">
        <f>transport!E14</f>
        <v>403.63327318816465</v>
      </c>
      <c r="F9" s="465"/>
      <c r="G9" s="465">
        <f>transport!G14</f>
        <v>62398.335243085196</v>
      </c>
      <c r="H9" s="465">
        <f>transport!H14</f>
        <v>13139.790137517757</v>
      </c>
      <c r="I9" s="465"/>
      <c r="J9" s="465"/>
      <c r="K9" s="465"/>
      <c r="L9" s="465"/>
      <c r="M9" s="465">
        <f>transport!M14</f>
        <v>3302.4174800266787</v>
      </c>
      <c r="N9" s="465"/>
      <c r="O9" s="465"/>
      <c r="P9" s="465"/>
      <c r="Q9" s="464">
        <f>SUM(B9:P9)</f>
        <v>79248.957532272761</v>
      </c>
    </row>
    <row r="10" spans="1:17">
      <c r="A10" s="460" t="s">
        <v>564</v>
      </c>
      <c r="B10" s="461">
        <f>transport!B54</f>
        <v>0</v>
      </c>
      <c r="C10" s="461"/>
      <c r="D10" s="461">
        <f>transport!D54</f>
        <v>0</v>
      </c>
      <c r="E10" s="461"/>
      <c r="F10" s="461"/>
      <c r="G10" s="461">
        <f>transport!G54</f>
        <v>1301.2534083398721</v>
      </c>
      <c r="H10" s="461"/>
      <c r="I10" s="461"/>
      <c r="J10" s="461"/>
      <c r="K10" s="461"/>
      <c r="L10" s="461"/>
      <c r="M10" s="461">
        <f>transport!M54</f>
        <v>55.46677953258876</v>
      </c>
      <c r="N10" s="461"/>
      <c r="O10" s="461"/>
      <c r="P10" s="462"/>
      <c r="Q10" s="460">
        <f t="shared" si="0"/>
        <v>1356.7201878724609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45935.516311556545</v>
      </c>
      <c r="C14" s="471">
        <f t="shared" ref="C14:Q14" ca="1" si="1">SUM(C4:C13)</f>
        <v>32653.928571428572</v>
      </c>
      <c r="D14" s="471">
        <f t="shared" ca="1" si="1"/>
        <v>46142.579920181175</v>
      </c>
      <c r="E14" s="471">
        <f t="shared" si="1"/>
        <v>8480.0759311333459</v>
      </c>
      <c r="F14" s="471">
        <f t="shared" ca="1" si="1"/>
        <v>70859.020497616308</v>
      </c>
      <c r="G14" s="471">
        <f t="shared" si="1"/>
        <v>63699.588651425067</v>
      </c>
      <c r="H14" s="471">
        <f t="shared" si="1"/>
        <v>13139.790137517757</v>
      </c>
      <c r="I14" s="471">
        <f t="shared" si="1"/>
        <v>0</v>
      </c>
      <c r="J14" s="471">
        <f t="shared" si="1"/>
        <v>2801.2292581934107</v>
      </c>
      <c r="K14" s="471">
        <f t="shared" si="1"/>
        <v>0</v>
      </c>
      <c r="L14" s="471">
        <f t="shared" ca="1" si="1"/>
        <v>0</v>
      </c>
      <c r="M14" s="471">
        <f t="shared" si="1"/>
        <v>3357.8842595592673</v>
      </c>
      <c r="N14" s="471">
        <f t="shared" ca="1" si="1"/>
        <v>19583.64042432285</v>
      </c>
      <c r="O14" s="471">
        <f t="shared" si="1"/>
        <v>92.236666666666679</v>
      </c>
      <c r="P14" s="472">
        <f t="shared" si="1"/>
        <v>495.73333333333329</v>
      </c>
      <c r="Q14" s="472">
        <f t="shared" ca="1" si="1"/>
        <v>307241.22396293428</v>
      </c>
    </row>
    <row r="16" spans="1:17">
      <c r="A16" s="474" t="s">
        <v>569</v>
      </c>
      <c r="B16" s="828">
        <f ca="1">huishoudens!B10</f>
        <v>0.13381324178748649</v>
      </c>
      <c r="C16" s="828">
        <f ca="1">huishoudens!C10</f>
        <v>9.2646833575474999E-2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3656.9639618564834</v>
      </c>
      <c r="C21" s="461">
        <f t="shared" ref="C21:C28" ca="1" si="3">C4*$C$16</f>
        <v>0</v>
      </c>
      <c r="D21" s="461">
        <f t="shared" ref="D21:D30" si="4">D4*$D$16</f>
        <v>5117.6473708624044</v>
      </c>
      <c r="E21" s="461">
        <f t="shared" ref="E21:E30" si="5">E4*$E$16</f>
        <v>1774.8308747529009</v>
      </c>
      <c r="F21" s="461">
        <f t="shared" ref="F21:F28" si="6">F4*$F$16</f>
        <v>17326.300989365212</v>
      </c>
      <c r="G21" s="461">
        <f t="shared" ref="G21:G30" si="7">G4*$G$16</f>
        <v>0</v>
      </c>
      <c r="H21" s="461">
        <f t="shared" ref="H21:H30" si="8">H4*$H$16</f>
        <v>0</v>
      </c>
      <c r="I21" s="461">
        <f t="shared" ref="I21:I28" si="9">I4*$I$16</f>
        <v>0</v>
      </c>
      <c r="J21" s="461">
        <f t="shared" ref="J21:J28" si="10">J4*$J$16</f>
        <v>935.26270902014767</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28811.00590585715</v>
      </c>
    </row>
    <row r="22" spans="1:17">
      <c r="A22" s="460" t="s">
        <v>156</v>
      </c>
      <c r="B22" s="461">
        <f t="shared" ca="1" si="2"/>
        <v>1430.1930721542442</v>
      </c>
      <c r="C22" s="461">
        <f t="shared" ca="1" si="3"/>
        <v>0</v>
      </c>
      <c r="D22" s="461">
        <f t="shared" ca="1" si="4"/>
        <v>1637.0563552483588</v>
      </c>
      <c r="E22" s="461">
        <f t="shared" si="5"/>
        <v>42.760685101934399</v>
      </c>
      <c r="F22" s="461">
        <f t="shared" ca="1" si="6"/>
        <v>449.30258121955325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3559.3126937240909</v>
      </c>
    </row>
    <row r="23" spans="1:17">
      <c r="A23" s="460" t="s">
        <v>195</v>
      </c>
      <c r="B23" s="461">
        <f t="shared" ca="1" si="2"/>
        <v>147.1888119968383</v>
      </c>
      <c r="C23" s="461"/>
      <c r="D23" s="461"/>
      <c r="E23" s="461"/>
      <c r="F23" s="461"/>
      <c r="G23" s="461"/>
      <c r="H23" s="461"/>
      <c r="I23" s="461"/>
      <c r="J23" s="461"/>
      <c r="K23" s="461"/>
      <c r="L23" s="461"/>
      <c r="M23" s="461"/>
      <c r="N23" s="461"/>
      <c r="O23" s="461"/>
      <c r="P23" s="462"/>
      <c r="Q23" s="460">
        <f t="shared" ca="1" si="17"/>
        <v>147.1888119968383</v>
      </c>
    </row>
    <row r="24" spans="1:17">
      <c r="A24" s="460" t="s">
        <v>112</v>
      </c>
      <c r="B24" s="461">
        <f t="shared" ca="1" si="2"/>
        <v>192.98125322115948</v>
      </c>
      <c r="C24" s="461">
        <f t="shared" ca="1" si="3"/>
        <v>3025.2830859425912</v>
      </c>
      <c r="D24" s="461">
        <f t="shared" si="4"/>
        <v>1177.7145471030974</v>
      </c>
      <c r="E24" s="461">
        <f t="shared" si="5"/>
        <v>3.4283132659558238</v>
      </c>
      <c r="F24" s="461">
        <f t="shared" si="6"/>
        <v>746.18689387020436</v>
      </c>
      <c r="G24" s="461">
        <f t="shared" si="7"/>
        <v>0</v>
      </c>
      <c r="H24" s="461">
        <f t="shared" si="8"/>
        <v>0</v>
      </c>
      <c r="I24" s="461">
        <f t="shared" si="9"/>
        <v>0</v>
      </c>
      <c r="J24" s="461">
        <f t="shared" si="10"/>
        <v>45.594697599642075</v>
      </c>
      <c r="K24" s="461">
        <f t="shared" si="11"/>
        <v>0</v>
      </c>
      <c r="L24" s="461">
        <f t="shared" si="12"/>
        <v>0</v>
      </c>
      <c r="M24" s="461">
        <f t="shared" si="13"/>
        <v>0</v>
      </c>
      <c r="N24" s="461">
        <f t="shared" si="14"/>
        <v>0</v>
      </c>
      <c r="O24" s="461">
        <f t="shared" si="15"/>
        <v>0</v>
      </c>
      <c r="P24" s="462">
        <f t="shared" si="16"/>
        <v>0</v>
      </c>
      <c r="Q24" s="460">
        <f t="shared" ca="1" si="17"/>
        <v>5191.1887910026508</v>
      </c>
    </row>
    <row r="25" spans="1:17">
      <c r="A25" s="460" t="s">
        <v>656</v>
      </c>
      <c r="B25" s="461">
        <f t="shared" ca="1" si="2"/>
        <v>719.33788695364171</v>
      </c>
      <c r="C25" s="461">
        <f t="shared" ca="1" si="3"/>
        <v>0</v>
      </c>
      <c r="D25" s="461">
        <f t="shared" si="4"/>
        <v>1387.5911787953733</v>
      </c>
      <c r="E25" s="461">
        <f t="shared" si="5"/>
        <v>12.332610232765463</v>
      </c>
      <c r="F25" s="461">
        <f t="shared" si="6"/>
        <v>397.5680084085833</v>
      </c>
      <c r="G25" s="461">
        <f t="shared" si="7"/>
        <v>0</v>
      </c>
      <c r="H25" s="461">
        <f t="shared" si="8"/>
        <v>0</v>
      </c>
      <c r="I25" s="461">
        <f t="shared" si="9"/>
        <v>0</v>
      </c>
      <c r="J25" s="461">
        <f t="shared" si="10"/>
        <v>10.777750780677492</v>
      </c>
      <c r="K25" s="461">
        <f t="shared" si="11"/>
        <v>0</v>
      </c>
      <c r="L25" s="461">
        <f t="shared" si="12"/>
        <v>0</v>
      </c>
      <c r="M25" s="461">
        <f t="shared" si="13"/>
        <v>0</v>
      </c>
      <c r="N25" s="461">
        <f t="shared" si="14"/>
        <v>0</v>
      </c>
      <c r="O25" s="461">
        <f t="shared" si="15"/>
        <v>0</v>
      </c>
      <c r="P25" s="462">
        <f t="shared" si="16"/>
        <v>0</v>
      </c>
      <c r="Q25" s="460">
        <f t="shared" ca="1" si="17"/>
        <v>2527.6074351710417</v>
      </c>
    </row>
    <row r="26" spans="1:17" s="466" customFormat="1">
      <c r="A26" s="464" t="s">
        <v>574</v>
      </c>
      <c r="B26" s="822">
        <f t="shared" ca="1" si="2"/>
        <v>0.11536464897792308</v>
      </c>
      <c r="C26" s="465"/>
      <c r="D26" s="465">
        <f t="shared" si="4"/>
        <v>0.79169186736401487</v>
      </c>
      <c r="E26" s="465">
        <f t="shared" si="5"/>
        <v>91.624753013713374</v>
      </c>
      <c r="F26" s="465"/>
      <c r="G26" s="465">
        <f t="shared" si="7"/>
        <v>16660.355509903748</v>
      </c>
      <c r="H26" s="465">
        <f t="shared" si="8"/>
        <v>3271.8077442419217</v>
      </c>
      <c r="I26" s="465"/>
      <c r="J26" s="465"/>
      <c r="K26" s="465"/>
      <c r="L26" s="465"/>
      <c r="M26" s="465">
        <f t="shared" si="13"/>
        <v>0</v>
      </c>
      <c r="N26" s="465"/>
      <c r="O26" s="465"/>
      <c r="P26" s="476"/>
      <c r="Q26" s="464">
        <f t="shared" ca="1" si="17"/>
        <v>20024.695063675725</v>
      </c>
    </row>
    <row r="27" spans="1:17">
      <c r="A27" s="460" t="s">
        <v>564</v>
      </c>
      <c r="B27" s="461">
        <f t="shared" ca="1" si="2"/>
        <v>0</v>
      </c>
      <c r="C27" s="461"/>
      <c r="D27" s="465">
        <f>D10*$D$16</f>
        <v>0</v>
      </c>
      <c r="E27" s="461"/>
      <c r="F27" s="461"/>
      <c r="G27" s="461">
        <f t="shared" si="7"/>
        <v>347.43466002674586</v>
      </c>
      <c r="H27" s="461"/>
      <c r="I27" s="461"/>
      <c r="J27" s="461"/>
      <c r="K27" s="461"/>
      <c r="L27" s="461"/>
      <c r="M27" s="461">
        <f t="shared" si="13"/>
        <v>0</v>
      </c>
      <c r="N27" s="461"/>
      <c r="O27" s="461"/>
      <c r="P27" s="462"/>
      <c r="Q27" s="460">
        <f t="shared" ca="1" si="17"/>
        <v>347.43466002674586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6146.7803508313455</v>
      </c>
      <c r="C31" s="471">
        <f t="shared" ca="1" si="18"/>
        <v>3025.2830859425912</v>
      </c>
      <c r="D31" s="471">
        <f t="shared" ca="1" si="18"/>
        <v>9320.8011438765971</v>
      </c>
      <c r="E31" s="471">
        <f t="shared" si="18"/>
        <v>1924.9772363672701</v>
      </c>
      <c r="F31" s="471">
        <f t="shared" ca="1" si="18"/>
        <v>18919.358472863551</v>
      </c>
      <c r="G31" s="471">
        <f t="shared" si="18"/>
        <v>17007.790169930493</v>
      </c>
      <c r="H31" s="471">
        <f t="shared" si="18"/>
        <v>3271.8077442419217</v>
      </c>
      <c r="I31" s="471">
        <f t="shared" si="18"/>
        <v>0</v>
      </c>
      <c r="J31" s="471">
        <f t="shared" si="18"/>
        <v>991.63515740046728</v>
      </c>
      <c r="K31" s="471">
        <f t="shared" si="18"/>
        <v>0</v>
      </c>
      <c r="L31" s="471">
        <f t="shared" ca="1" si="18"/>
        <v>0</v>
      </c>
      <c r="M31" s="471">
        <f t="shared" si="18"/>
        <v>0</v>
      </c>
      <c r="N31" s="471">
        <f t="shared" ca="1" si="18"/>
        <v>0</v>
      </c>
      <c r="O31" s="471">
        <f t="shared" si="18"/>
        <v>0</v>
      </c>
      <c r="P31" s="472">
        <f t="shared" si="18"/>
        <v>0</v>
      </c>
      <c r="Q31" s="472">
        <f t="shared" ca="1" si="18"/>
        <v>60608.433361454241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0.13381324178748649</v>
      </c>
      <c r="C17" s="511">
        <f ca="1">'EF ele_warmte'!B22</f>
        <v>9.2646833575474999E-2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0.13381324178748649</v>
      </c>
      <c r="C17" s="511">
        <f ca="1">'EF ele_warmte'!B22</f>
        <v>9.2646833575474999E-2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0.13381324178748649</v>
      </c>
      <c r="C29" s="512">
        <f ca="1">'EF ele_warmte'!B22</f>
        <v>9.2646833575474999E-2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2018-12-05T15:55:09Z</dcterms:modified>
</cp:coreProperties>
</file>