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8" i="9"/>
  <c r="B6" i="48" s="1"/>
  <c r="Q6" s="1"/>
  <c r="C97" i="18"/>
  <c r="I100" s="1"/>
  <c r="H7" s="1"/>
  <c r="I67" i="14" s="1"/>
  <c r="F16" i="16"/>
  <c r="D13" i="15"/>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B81" i="14"/>
  <c r="F100" i="18"/>
  <c r="E31" i="20"/>
  <c r="F43" i="14" s="1"/>
  <c r="H14" i="22"/>
  <c r="F8" i="17"/>
  <c r="G22" i="14" s="1"/>
  <c r="H100" i="18"/>
  <c r="E9" i="14"/>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L20" s="1"/>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O78" i="14" l="1"/>
  <c r="E101" i="18"/>
  <c r="E16" s="1"/>
  <c r="F78" i="14" s="1"/>
  <c r="F81" s="1"/>
  <c r="F101" i="18"/>
  <c r="D13" i="14"/>
  <c r="J12" i="17"/>
  <c r="K48" i="14" s="1"/>
  <c r="E100" i="18"/>
  <c r="E7" s="1"/>
  <c r="F67" i="14" s="1"/>
  <c r="F69" s="1"/>
  <c r="D100" i="18"/>
  <c r="H101"/>
  <c r="E22" i="14"/>
  <c r="G31" i="20"/>
  <c r="H43" i="14" s="1"/>
  <c r="H19" i="18"/>
  <c r="G13" i="48"/>
  <c r="G30" s="1"/>
  <c r="D101" i="18"/>
  <c r="H17" i="14"/>
  <c r="B100" i="18"/>
  <c r="C7" s="1"/>
  <c r="G100"/>
  <c r="I7" s="1"/>
  <c r="G101"/>
  <c r="I16" s="1"/>
  <c r="D16" i="15"/>
  <c r="Q13" i="14"/>
  <c r="L5" i="17"/>
  <c r="L8" s="1"/>
  <c r="M28" i="48"/>
  <c r="B35" i="13"/>
  <c r="B47" s="1"/>
  <c r="N5" i="17"/>
  <c r="N8" s="1"/>
  <c r="D81" i="14"/>
  <c r="O79"/>
  <c r="B9" i="18"/>
  <c r="M31" i="20"/>
  <c r="N43" i="14" s="1"/>
  <c r="M12" i="22"/>
  <c r="O18" i="16"/>
  <c r="B34" i="13"/>
  <c r="B46" s="1"/>
  <c r="E5" s="1"/>
  <c r="E8" s="1"/>
  <c r="E12" s="1"/>
  <c r="F37" i="14" s="1"/>
  <c r="K22"/>
  <c r="M13"/>
  <c r="L8" i="48"/>
  <c r="L25" s="1"/>
  <c r="L22" i="16"/>
  <c r="M39" i="14" s="1"/>
  <c r="C7" i="48"/>
  <c r="D22" i="14"/>
  <c r="M22" i="48"/>
  <c r="B36" i="13"/>
  <c r="J7" i="18"/>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K31"/>
  <c r="B48" i="13"/>
  <c r="C48" s="1"/>
  <c r="N5" s="1"/>
  <c r="N8" s="1"/>
  <c r="N4" i="48" s="1"/>
  <c r="N21" s="1"/>
  <c r="M25"/>
  <c r="M24"/>
  <c r="I31"/>
  <c r="C50" i="13"/>
  <c r="J5" s="1"/>
  <c r="J8" s="1"/>
  <c r="C5" i="48"/>
  <c r="C14" l="1"/>
  <c r="R17" i="14"/>
  <c r="M16" i="18"/>
  <c r="M19" s="1"/>
  <c r="E9"/>
  <c r="J78" i="14"/>
  <c r="I19" i="18"/>
  <c r="C9"/>
  <c r="D67" i="14"/>
  <c r="E7" i="48"/>
  <c r="E24" s="1"/>
  <c r="E12" i="17"/>
  <c r="F48" i="14" s="1"/>
  <c r="O81"/>
  <c r="B17" i="6" s="1"/>
  <c r="E19" i="18"/>
  <c r="J16"/>
  <c r="L7" i="48"/>
  <c r="L24" s="1"/>
  <c r="M22" i="14"/>
  <c r="L12" i="17"/>
  <c r="M48" i="14" s="1"/>
  <c r="O22"/>
  <c r="R22" s="1"/>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K78"/>
  <c r="K81" s="1"/>
  <c r="J19" i="18"/>
  <c r="D69" i="14"/>
  <c r="O67"/>
  <c r="Q7" i="48"/>
  <c r="D14"/>
  <c r="N19" i="14"/>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F8" i="48"/>
  <c r="F14" s="1"/>
  <c r="R19" i="14"/>
  <c r="Q9" i="48"/>
  <c r="N25"/>
  <c r="N31" s="1"/>
  <c r="N14"/>
  <c r="E8"/>
  <c r="J22" i="16"/>
  <c r="K39" i="14" s="1"/>
  <c r="K41" s="1"/>
  <c r="K53" s="1"/>
  <c r="J31" i="48"/>
  <c r="J14"/>
  <c r="R20" i="14"/>
  <c r="N55"/>
  <c r="H55"/>
  <c r="G31" i="48"/>
  <c r="F55" i="14"/>
  <c r="O53"/>
  <c r="G53"/>
  <c r="G55" s="1"/>
  <c r="O69" s="1"/>
  <c r="B9" i="6" s="1"/>
  <c r="B12" s="1"/>
  <c r="M53" i="14"/>
  <c r="M55" s="1"/>
  <c r="C12" i="13"/>
  <c r="D37" i="14" s="1"/>
  <c r="D41" s="1"/>
  <c r="C24" i="48"/>
  <c r="C28"/>
  <c r="C22"/>
  <c r="C25"/>
  <c r="C21"/>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<sst xmlns="http://schemas.openxmlformats.org/spreadsheetml/2006/main" count="2225" uniqueCount="937">
  <si>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</si>
  <si>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</si>
  <si>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</si>
  <si>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</si>
  <si>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</si>
  <si>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</si>
  <si>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</si>
  <si>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</si>
  <si>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</si>
  <si>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</si>
  <si>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</si>
  <si>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</si>
  <si>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</si>
  <si>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</si>
  <si>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</si>
  <si>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</si>
  <si>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</si>
  <si>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</si>
  <si>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</si>
  <si>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</si>
  <si>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</si>
  <si>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</si>
  <si>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</si>
  <si>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</si>
  <si>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</si>
  <si>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</si>
  <si>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</si>
  <si>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</si>
  <si>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</si>
  <si>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</si>
  <si>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</si>
  <si>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</si>
  <si>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</si>
  <si>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</si>
  <si>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</si>
  <si>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</si>
  <si>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</si>
  <si>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</si>
  <si>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</si>
  <si>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</si>
  <si>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</si>
  <si>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</si>
  <si>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</si>
  <si>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</si>
  <si>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</si>
  <si>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</si>
  <si>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</si>
  <si>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</si>
  <si>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</si>
  <si>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</si>
  <si>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</si>
  <si>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</si>
  <si>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</si>
  <si>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</si>
  <si>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</si>
  <si>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</si>
  <si>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</si>
  <si>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</si>
  <si>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</si>
  <si>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</si>
  <si>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</si>
  <si>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</si>
  <si>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</si>
  <si>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</si>
  <si>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</si>
  <si>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</si>
  <si>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</si>
  <si>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</si>
  <si>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</si>
  <si>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</si>
  <si>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</si>
  <si>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</si>
  <si>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</si>
  <si>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</si>
  <si>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</si>
  <si>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</si>
  <si>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</si>
  <si>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</si>
  <si>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</si>
  <si>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</si>
  <si>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</si>
  <si>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</si>
  <si>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</si>
  <si>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</si>
  <si>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</si>
  <si>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</si>
  <si>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</si>
  <si>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</si>
  <si>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</si>
  <si>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</si>
  <si>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</si>
  <si>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</si>
  <si>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</si>
  <si>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</si>
  <si>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</si>
  <si>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</si>
  <si>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</si>
  <si>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</si>
  <si>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</si>
  <si>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</si>
  <si>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</si>
  <si>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</si>
  <si>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</si>
  <si>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</si>
  <si>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</si>
  <si>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</si>
  <si>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</si>
  <si>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</si>
  <si>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</si>
  <si>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</si>
  <si>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</si>
  <si>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</si>
  <si>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</si>
  <si>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</si>
  <si>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</si>
  <si>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</si>
  <si>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</si>
  <si>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</si>
  <si>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</si>
  <si>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</si>
  <si>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</si>
  <si>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</si>
  <si>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</si>
  <si>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</si>
  <si>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</si>
  <si>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</si>
  <si>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</si>
  <si>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</si>
  <si>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</si>
  <si>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</si>
  <si>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</si>
  <si>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</si>
  <si>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</si>
  <si>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</si>
  <si>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</si>
  <si>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</si>
  <si>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</si>
  <si>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</si>
  <si>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</si>
  <si>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</si>
  <si>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</si>
  <si>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</si>
  <si>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</si>
  <si>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</si>
  <si>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</si>
  <si>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</si>
  <si>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</si>
  <si>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</si>
  <si>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</si>
  <si>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</si>
  <si>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</si>
  <si>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</si>
  <si>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</si>
  <si>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</si>
  <si>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</si>
  <si>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</si>
  <si>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</si>
  <si>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</si>
  <si>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</si>
  <si>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</si>
  <si>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</si>
  <si>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</si>
  <si>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</si>
  <si>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</si>
  <si>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</si>
  <si>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</si>
  <si>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</si>
  <si>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</si>
  <si>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</si>
  <si>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</si>
  <si>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</si>
  <si>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</si>
  <si>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</si>
  <si>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</si>
  <si>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</si>
  <si>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</si>
  <si>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</si>
  <si>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</si>
  <si>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</si>
  <si>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</si>
  <si>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</si>
  <si>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</si>
  <si>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</si>
  <si>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</si>
  <si>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</si>
  <si>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</si>
  <si>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</si>
  <si>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</si>
  <si>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</si>
  <si>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</si>
  <si>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</si>
  <si>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</si>
  <si>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</si>
  <si>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</si>
  <si>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</si>
  <si>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</si>
  <si>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</si>
  <si>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</si>
  <si>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</si>
  <si>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</si>
  <si>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</si>
  <si>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</si>
  <si>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</si>
  <si>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</si>
  <si>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</si>
  <si>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</si>
  <si>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</si>
  <si>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</si>
  <si>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</si>
  <si>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</si>
  <si>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</si>
  <si>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</si>
  <si>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</si>
  <si>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</si>
  <si>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</si>
  <si>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</si>
  <si>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</si>
  <si>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</si>
  <si>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</si>
  <si>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</si>
  <si>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</si>
  <si>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</si>
  <si>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</si>
  <si>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</si>
  <si>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</si>
  <si>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</si>
  <si>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</si>
  <si>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</si>
  <si>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</si>
  <si>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</si>
  <si>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</si>
  <si>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</si>
  <si>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</si>
  <si>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</si>
  <si>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</si>
  <si>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</si>
  <si>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</si>
  <si>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</si>
  <si>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</si>
  <si>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</si>
  <si>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</si>
  <si>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</si>
  <si>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</si>
  <si>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</si>
  <si>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</si>
  <si>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</si>
  <si>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</si>
  <si>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</si>
  <si>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</si>
  <si>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</si>
  <si>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</si>
  <si>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</si>
  <si>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</si>
  <si>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</si>
  <si>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</si>
  <si>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</si>
  <si>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</si>
  <si>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</si>
  <si>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</si>
  <si>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</si>
  <si>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</si>
  <si>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</si>
  <si>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</si>
  <si>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</si>
  <si>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</si>
  <si>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</si>
  <si>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</si>
  <si>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</si>
  <si>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</si>
  <si>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</si>
  <si>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</si>
  <si>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</si>
  <si>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</si>
  <si>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</si>
  <si>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</si>
  <si>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</si>
  <si>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</si>
  <si>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</si>
  <si>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</si>
  <si>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</si>
  <si>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</si>
  <si>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</si>
  <si>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</si>
  <si>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</si>
  <si>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</si>
  <si>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</si>
  <si>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</si>
  <si>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</si>
  <si>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</si>
  <si>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</si>
  <si>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</si>
  <si>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</si>
  <si>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</si>
  <si>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</si>
  <si>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</si>
  <si>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</si>
  <si>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</si>
  <si>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</si>
  <si>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</si>
  <si>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</si>
  <si>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</si>
  <si>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</si>
  <si>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</si>
  <si>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</si>
  <si>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</si>
  <si>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</si>
  <si>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</si>
  <si>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</si>
  <si>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</si>
  <si>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</si>
  <si>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</si>
  <si>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</si>
  <si>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</si>
  <si>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</si>
  <si>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</si>
  <si>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</si>
  <si>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</si>
  <si>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</si>
  <si>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</si>
  <si>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</si>
  <si>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</si>
  <si>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</si>
  <si>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</si>
  <si>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</si>
  <si>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</si>
  <si>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</si>
  <si>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</si>
  <si>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</si>
  <si>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</si>
  <si>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</si>
  <si>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</si>
  <si>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</si>
  <si>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</si>
  <si>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</si>
  <si>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</si>
  <si>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</si>
  <si>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</si>
  <si>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</si>
  <si>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</si>
  <si>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</si>
  <si>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</si>
  <si>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</si>
  <si>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</si>
  <si>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</si>
  <si>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</si>
  <si>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</si>
  <si>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</si>
  <si>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</si>
  <si>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</si>
  <si>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</si>
  <si>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</si>
  <si>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</si>
  <si>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</si>
  <si>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</si>
  <si>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</si>
  <si>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</si>
  <si>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</si>
  <si>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</si>
  <si>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</si>
  <si>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</si>
  <si>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</si>
  <si>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</si>
  <si>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</si>
  <si>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</si>
  <si>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</si>
  <si>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</si>
  <si>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</si>
  <si>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</si>
  <si>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</si>
  <si>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</si>
  <si>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</si>
  <si>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</si>
  <si>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</si>
  <si>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</si>
  <si>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</si>
  <si>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</si>
  <si>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</si>
  <si>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</si>
  <si>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</si>
  <si>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</si>
  <si>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</si>
  <si>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</si>
  <si>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</si>
  <si>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</si>
  <si>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</si>
  <si>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</si>
  <si>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</si>
  <si>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</si>
  <si>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</si>
  <si>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</si>
  <si>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</si>
  <si>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</si>
  <si>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</si>
  <si>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</si>
  <si>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</si>
  <si>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</si>
  <si>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</si>
  <si>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</si>
  <si>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</si>
  <si>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</si>
  <si>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</si>
  <si>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</si>
  <si>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</si>
  <si>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</si>
  <si>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</si>
  <si>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</si>
  <si>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</si>
  <si>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</si>
  <si>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</si>
  <si>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</si>
  <si>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</si>
  <si>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</si>
  <si>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</si>
  <si>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</si>
  <si>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</si>
  <si>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</si>
  <si>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</si>
  <si>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</si>
  <si>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</si>
  <si>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</si>
  <si>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</si>
  <si>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</si>
  <si>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</si>
  <si>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</si>
  <si>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</si>
  <si>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</si>
  <si>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</si>
  <si>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</si>
  <si>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</si>
  <si>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</si>
  <si>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</si>
  <si>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</si>
  <si>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</si>
  <si>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</si>
  <si>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</si>
  <si>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</si>
  <si>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</si>
  <si>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</si>
  <si>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</si>
  <si>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</si>
  <si>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</si>
  <si>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</si>
  <si>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</si>
  <si>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</si>
  <si>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</si>
  <si>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</si>
  <si>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</si>
  <si>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</si>
  <si>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</si>
  <si>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</si>
  <si>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</si>
  <si>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</si>
  <si>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</si>
  <si>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</si>
  <si>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</si>
  <si>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</si>
  <si>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</si>
  <si>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</si>
  <si>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</si>
  <si>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</si>
  <si>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</si>
  <si>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</si>
  <si>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</si>
  <si>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</si>
  <si>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</si>
  <si>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</si>
  <si>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</si>
  <si>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</si>
  <si>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</si>
  <si>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</si>
  <si>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</si>
  <si>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</si>
  <si>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</si>
  <si>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</si>
  <si>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</si>
  <si>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</si>
  <si>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</si>
  <si>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</si>
  <si>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</si>
  <si>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</si>
  <si>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</si>
  <si>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</si>
  <si>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</si>
  <si>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</si>
  <si>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</si>
  <si>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</si>
  <si>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</si>
  <si>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</si>
  <si>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</si>
  <si>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</si>
  <si>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</si>
  <si>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</si>
  <si>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</si>
  <si>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</si>
  <si>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</si>
  <si>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</si>
  <si>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</si>
  <si>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</si>
  <si>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</si>
  <si>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</si>
  <si>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</si>
  <si>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</si>
  <si>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</si>
  <si>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</si>
  <si>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</si>
  <si>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</si>
  <si>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</si>
  <si>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</si>
  <si>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</si>
  <si>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</si>
  <si>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</si>
  <si>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</si>
  <si>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</si>
  <si>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</si>
  <si>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</si>
  <si>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</si>
  <si>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</si>
  <si>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</si>
  <si>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</si>
  <si>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</si>
  <si>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</si>
  <si>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</si>
  <si>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</si>
  <si>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</si>
  <si>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</si>
  <si>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</si>
  <si>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</si>
  <si>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</si>
  <si>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</si>
  <si>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</si>
  <si>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</si>
  <si>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</si>
  <si>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</si>
  <si>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</si>
  <si>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</si>
  <si>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</si>
  <si>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</si>
  <si>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</si>
  <si>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</si>
  <si>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</si>
  <si>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</si>
  <si>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</si>
  <si>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</si>
  <si>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</si>
  <si>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</si>
  <si>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</si>
  <si>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</si>
  <si>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</si>
  <si>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</si>
  <si>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</si>
  <si>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</si>
  <si>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</si>
  <si>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</si>
  <si>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</si>
  <si>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</si>
  <si>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</si>
  <si>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</si>
  <si>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</si>
  <si>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</si>
  <si>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</si>
  <si>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</si>
  <si>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</si>
  <si>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</si>
  <si>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</si>
  <si>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</si>
  <si>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</si>
  <si>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</si>
  <si>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</si>
  <si>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</si>
  <si>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</si>
  <si>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</si>
  <si>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</si>
  <si>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</si>
  <si>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</si>
  <si>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</si>
  <si>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</si>
  <si>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</si>
  <si>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</si>
  <si>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</si>
  <si>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</si>
  <si>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</si>
  <si>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</si>
  <si>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</si>
  <si>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</si>
  <si>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</si>
  <si>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</si>
  <si>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</si>
  <si>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</si>
  <si>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</si>
  <si>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</si>
  <si>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</si>
  <si>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</si>
  <si>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</si>
  <si>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</si>
  <si>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</si>
  <si>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</si>
  <si>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</si>
  <si>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</si>
  <si>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</si>
  <si>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</si>
  <si>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</si>
  <si>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</si>
  <si>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</si>
  <si>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</si>
  <si>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</si>
  <si>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</si>
  <si>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</si>
  <si>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</si>
  <si>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</si>
  <si>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</si>
  <si>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</si>
  <si>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</si>
  <si>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</si>
  <si>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</si>
  <si>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</si>
  <si>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</si>
  <si>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</si>
  <si>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</si>
  <si>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</si>
  <si>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</si>
  <si>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</si>
  <si>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</si>
  <si>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</si>
  <si>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</si>
  <si>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</si>
  <si>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</si>
  <si>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</si>
  <si>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</si>
  <si>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</si>
  <si>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</si>
  <si>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</si>
  <si>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</si>
  <si>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</si>
  <si>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</si>
  <si>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</si>
  <si>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</si>
  <si>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</si>
  <si>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</si>
  <si>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</si>
  <si>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</si>
  <si>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</si>
  <si>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</si>
  <si>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</si>
  <si>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</si>
  <si>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</si>
  <si>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</si>
  <si>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</si>
  <si>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</si>
  <si>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</si>
  <si>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</si>
  <si>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</si>
  <si>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</si>
  <si>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</si>
  <si>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</si>
  <si>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</si>
  <si>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</si>
  <si>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</si>
  <si>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</si>
  <si>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</si>
  <si>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</si>
  <si>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</si>
  <si>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</si>
  <si>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</si>
  <si>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</si>
  <si>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</si>
  <si>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</si>
  <si>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</si>
  <si>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</si>
  <si>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</si>
  <si>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</si>
  <si>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</si>
  <si>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</si>
  <si>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</si>
  <si>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</si>
  <si>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</si>
  <si>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</si>
  <si>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</si>
  <si>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</si>
  <si>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</si>
  <si>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</si>
  <si>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</si>
  <si>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</si>
  <si>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</si>
  <si>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</si>
  <si>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</si>
  <si>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</si>
  <si>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</si>
  <si>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</si>
  <si>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</si>
  <si>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</si>
  <si>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</si>
  <si>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</si>
  <si>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</si>
  <si>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</si>
  <si>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</si>
  <si>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</si>
  <si>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</si>
  <si>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</si>
  <si>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</si>
  <si>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</si>
  <si>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</si>
  <si>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</si>
  <si>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</si>
  <si>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</si>
  <si>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</si>
  <si>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</si>
  <si>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</si>
  <si>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</si>
  <si>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</si>
  <si>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</si>
  <si>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</si>
  <si>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</si>
  <si>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</si>
  <si>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</si>
  <si>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</si>
  <si>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</si>
  <si>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</si>
  <si>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</si>
  <si>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</si>
  <si>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</si>
  <si>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</si>
  <si>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</si>
  <si>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</si>
  <si>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</si>
  <si>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</si>
  <si>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</si>
  <si>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</si>
  <si>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</si>
  <si>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</si>
  <si>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</si>
  <si>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</si>
  <si>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</si>
  <si>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</si>
  <si>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</si>
  <si>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</si>
  <si>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</si>
  <si>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</si>
  <si>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</si>
  <si>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</si>
  <si>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</si>
  <si>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</si>
  <si>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</si>
  <si>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</si>
  <si>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</si>
  <si>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</si>
  <si>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</si>
  <si>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</si>
  <si>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</si>
  <si>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</si>
  <si>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</si>
  <si>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</si>
  <si>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</si>
  <si>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</si>
  <si>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</si>
  <si>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</si>
  <si>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</si>
  <si>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</si>
  <si>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</si>
  <si>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</si>
  <si>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</si>
  <si>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</si>
  <si>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</si>
  <si>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</si>
  <si>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</si>
  <si>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</si>
  <si>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</si>
  <si>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</si>
  <si>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</si>
  <si>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</si>
  <si>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</si>
  <si>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</si>
  <si>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</si>
  <si>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</si>
  <si>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</si>
  <si>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</si>
  <si>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</si>
  <si>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</si>
  <si>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</si>
  <si>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</si>
  <si>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</si>
  <si>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</si>
  <si>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</si>
  <si>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</si>
  <si>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</si>
  <si>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</si>
  <si>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</si>
  <si>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</si>
  <si>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</si>
  <si>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</si>
  <si>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</si>
  <si>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</si>
  <si>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</si>
  <si>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</si>
  <si>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</si>
  <si>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</si>
  <si>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</si>
  <si>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</si>
  <si>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</si>
  <si>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</si>
  <si>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</si>
  <si>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</si>
  <si>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</si>
  <si>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</si>
  <si>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</si>
  <si>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</si>
  <si>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</si>
  <si>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</si>
  <si>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</si>
  <si>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</si>
  <si>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</si>
  <si>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</si>
  <si>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</si>
  <si>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</si>
  <si>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</si>
  <si>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</si>
  <si>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</si>
  <si>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</si>
  <si>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</si>
  <si>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</si>
  <si>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</si>
  <si>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</si>
  <si>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</si>
  <si>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</si>
  <si>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</si>
  <si>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</si>
  <si>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</si>
  <si>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</si>
  <si>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</si>
  <si>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</si>
  <si>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</si>
  <si>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</si>
  <si>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</si>
  <si>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</si>
  <si>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</si>
  <si>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</si>
  <si>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</si>
  <si>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</si>
  <si>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</si>
  <si>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</si>
  <si>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</si>
  <si>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</si>
  <si>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</si>
  <si>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</si>
  <si>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</si>
  <si>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</si>
  <si>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</si>
  <si>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</si>
  <si>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</si>
  <si>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</si>
  <si>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</si>
  <si>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</si>
  <si>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</si>
  <si>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</si>
  <si>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</si>
  <si>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</si>
  <si>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</si>
  <si>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</si>
  <si>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</si>
  <si>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</si>
  <si>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</si>
  <si>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</si>
  <si>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</si>
  <si>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</si>
  <si>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</si>
  <si>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</si>
  <si>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</si>
  <si>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</si>
  <si>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</si>
  <si>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</si>
  <si>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</si>
  <si>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</si>
  <si>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</si>
  <si>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</si>
  <si>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</si>
  <si>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</si>
  <si>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</si>
  <si>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</si>
  <si>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</si>
  <si>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</si>
  <si>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</si>
  <si>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</si>
  <si>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</si>
  <si>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</si>
  <si>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</si>
  <si>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</si>
  <si>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</si>
  <si>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</si>
  <si>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</si>
  <si>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</si>
  <si>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</si>
  <si>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</si>
  <si>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</si>
  <si>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</si>
  <si>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</si>
  <si>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</si>
  <si>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</si>
  <si>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</si>
  <si>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</si>
  <si>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</si>
  <si>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</si>
  <si>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</si>
  <si>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</si>
  <si>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</si>
  <si>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</si>
  <si>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</si>
  <si>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</si>
  <si>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</si>
  <si>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</si>
  <si>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</si>
  <si>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</si>
  <si>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</si>
  <si>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</si>
  <si>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</si>
  <si>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</si>
  <si>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</si>
  <si>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</si>
  <si>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</si>
  <si>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</si>
  <si>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</si>
  <si>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</si>
  <si>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</si>
  <si>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</si>
  <si>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12030</t>
  </si>
  <si>
    <t>PUURS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</si>
  <si>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</si>
  <si>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</si>
  <si>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</si>
  <si>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</si>
  <si>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</si>
  <si>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</si>
  <si>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</si>
  <si>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Pfizer Manufacturing Belgium NV</t>
  </si>
  <si>
    <t>Rijksweg 12, 2870 Puurs</t>
  </si>
  <si>
    <t>WKK-0104 Pfizer Puurs</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</si>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</sst>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12030</v>
      </c>
      <c r="B6" s="396"/>
      <c r="C6" s="397"/>
    </row>
    <row r="7" spans="1:7" s="394" customFormat="1" ht="15.75" customHeight="1">
      <c r="A7" s="398" t="str">
        <f>txtMunicipality</f>
        <v>PUURS</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34482.417483245932</v>
      </c>
      <c r="D10" s="702">
        <f ca="1">tertiair!C16</f>
        <v>0</v>
      </c>
      <c r="E10" s="702">
        <f ca="1">tertiair!D16</f>
        <v>28762.53357357845</v>
      </c>
      <c r="F10" s="702">
        <f>tertiair!E16</f>
        <v>687.87513662851245</v>
      </c>
      <c r="G10" s="702">
        <f ca="1">tertiair!F16</f>
        <v>6027.6540320645618</v>
      </c>
      <c r="H10" s="702">
        <f>tertiair!G16</f>
        <v>0</v>
      </c>
      <c r="I10" s="702">
        <f>tertiair!H16</f>
        <v>0</v>
      </c>
      <c r="J10" s="702">
        <f>tertiair!I16</f>
        <v>0</v>
      </c>
      <c r="K10" s="702">
        <f>tertiair!J16</f>
        <v>0</v>
      </c>
      <c r="L10" s="702">
        <f>tertiair!K16</f>
        <v>0</v>
      </c>
      <c r="M10" s="702">
        <f ca="1">tertiair!L16</f>
        <v>0</v>
      </c>
      <c r="N10" s="702">
        <f>tertiair!M16</f>
        <v>0</v>
      </c>
      <c r="O10" s="702">
        <f ca="1">tertiair!N16</f>
        <v>897.71202789470908</v>
      </c>
      <c r="P10" s="702">
        <f>tertiair!O16</f>
        <v>1.5633333333333335</v>
      </c>
      <c r="Q10" s="703">
        <f>tertiair!P16</f>
        <v>57.2</v>
      </c>
      <c r="R10" s="705">
        <f ca="1">SUM(C10:Q10)</f>
        <v>70916.955586745506</v>
      </c>
      <c r="S10" s="67"/>
    </row>
    <row r="11" spans="1:19" s="457" customFormat="1">
      <c r="A11" s="858" t="s">
        <v>226</v>
      </c>
      <c r="B11" s="863"/>
      <c r="C11" s="702">
        <f>huishoudens!B8</f>
        <v>28917.94641587713</v>
      </c>
      <c r="D11" s="702">
        <f>huishoudens!C8</f>
        <v>0</v>
      </c>
      <c r="E11" s="702">
        <f>huishoudens!D8</f>
        <v>73077.108786734432</v>
      </c>
      <c r="F11" s="702">
        <f>huishoudens!E8</f>
        <v>2494.3856836024156</v>
      </c>
      <c r="G11" s="702">
        <f>huishoudens!F8</f>
        <v>17028.612656722853</v>
      </c>
      <c r="H11" s="702">
        <f>huishoudens!G8</f>
        <v>0</v>
      </c>
      <c r="I11" s="702">
        <f>huishoudens!H8</f>
        <v>0</v>
      </c>
      <c r="J11" s="702">
        <f>huishoudens!I8</f>
        <v>0</v>
      </c>
      <c r="K11" s="702">
        <f>huishoudens!J8</f>
        <v>0</v>
      </c>
      <c r="L11" s="702">
        <f>huishoudens!K8</f>
        <v>0</v>
      </c>
      <c r="M11" s="702">
        <f>huishoudens!L8</f>
        <v>0</v>
      </c>
      <c r="N11" s="702">
        <f>huishoudens!M8</f>
        <v>0</v>
      </c>
      <c r="O11" s="702">
        <f>huishoudens!N8</f>
        <v>7844.6880607922067</v>
      </c>
      <c r="P11" s="702">
        <f>huishoudens!O8</f>
        <v>98.490000000000009</v>
      </c>
      <c r="Q11" s="703">
        <f>huishoudens!P8</f>
        <v>133.46666666666667</v>
      </c>
      <c r="R11" s="705">
        <f>SUM(C11:Q11)</f>
        <v>129594.6982703957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118772.04141898849</v>
      </c>
      <c r="D13" s="702">
        <f>industrie!C18</f>
        <v>0</v>
      </c>
      <c r="E13" s="702">
        <f>industrie!D18</f>
        <v>125377.68000976645</v>
      </c>
      <c r="F13" s="702">
        <f>industrie!E18</f>
        <v>893.74940114903063</v>
      </c>
      <c r="G13" s="702">
        <f>industrie!F18</f>
        <v>20514.411643011001</v>
      </c>
      <c r="H13" s="702">
        <f>industrie!G18</f>
        <v>0</v>
      </c>
      <c r="I13" s="702">
        <f>industrie!H18</f>
        <v>0</v>
      </c>
      <c r="J13" s="702">
        <f>industrie!I18</f>
        <v>0</v>
      </c>
      <c r="K13" s="702">
        <f>industrie!J18</f>
        <v>364.3948117110437</v>
      </c>
      <c r="L13" s="702">
        <f>industrie!K18</f>
        <v>0</v>
      </c>
      <c r="M13" s="702">
        <f>industrie!L18</f>
        <v>0</v>
      </c>
      <c r="N13" s="702">
        <f>industrie!M18</f>
        <v>0</v>
      </c>
      <c r="O13" s="702">
        <f>industrie!N18</f>
        <v>2100.7107511948525</v>
      </c>
      <c r="P13" s="702">
        <f>industrie!O18</f>
        <v>0</v>
      </c>
      <c r="Q13" s="703">
        <f>industrie!P18</f>
        <v>0</v>
      </c>
      <c r="R13" s="705">
        <f>SUM(C13:Q13)</f>
        <v>268022.98803582089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182172.40531811156</v>
      </c>
      <c r="D15" s="707">
        <f t="shared" ref="D15:Q15" ca="1" si="0">SUM(D9:D14)</f>
        <v>0</v>
      </c>
      <c r="E15" s="707">
        <f t="shared" ca="1" si="0"/>
        <v>227217.32237007935</v>
      </c>
      <c r="F15" s="707">
        <f t="shared" si="0"/>
        <v>4076.0102213799587</v>
      </c>
      <c r="G15" s="707">
        <f t="shared" ca="1" si="0"/>
        <v>43570.678331798415</v>
      </c>
      <c r="H15" s="707">
        <f t="shared" si="0"/>
        <v>0</v>
      </c>
      <c r="I15" s="707">
        <f t="shared" si="0"/>
        <v>0</v>
      </c>
      <c r="J15" s="707">
        <f t="shared" si="0"/>
        <v>0</v>
      </c>
      <c r="K15" s="707">
        <f t="shared" si="0"/>
        <v>364.3948117110437</v>
      </c>
      <c r="L15" s="707">
        <f t="shared" si="0"/>
        <v>0</v>
      </c>
      <c r="M15" s="707">
        <f t="shared" ca="1" si="0"/>
        <v>0</v>
      </c>
      <c r="N15" s="707">
        <f t="shared" si="0"/>
        <v>0</v>
      </c>
      <c r="O15" s="707">
        <f t="shared" ca="1" si="0"/>
        <v>10843.110839881769</v>
      </c>
      <c r="P15" s="707">
        <f t="shared" si="0"/>
        <v>100.05333333333334</v>
      </c>
      <c r="Q15" s="708">
        <f t="shared" si="0"/>
        <v>190.66666666666669</v>
      </c>
      <c r="R15" s="709">
        <f ca="1">SUM(R9:R14)</f>
        <v>468534.6418929621</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1762.0717519016239</v>
      </c>
      <c r="I18" s="702">
        <f>transport!H54</f>
        <v>0</v>
      </c>
      <c r="J18" s="702">
        <f>transport!I54</f>
        <v>0</v>
      </c>
      <c r="K18" s="702">
        <f>transport!J54</f>
        <v>0</v>
      </c>
      <c r="L18" s="702">
        <f>transport!K54</f>
        <v>0</v>
      </c>
      <c r="M18" s="702">
        <f>transport!L54</f>
        <v>0</v>
      </c>
      <c r="N18" s="702">
        <f>transport!M54</f>
        <v>75.109463504131057</v>
      </c>
      <c r="O18" s="702">
        <f>transport!N54</f>
        <v>0</v>
      </c>
      <c r="P18" s="702">
        <f>transport!O54</f>
        <v>0</v>
      </c>
      <c r="Q18" s="703">
        <f>transport!P54</f>
        <v>0</v>
      </c>
      <c r="R18" s="705">
        <f>SUM(C18:Q18)</f>
        <v>1837.181215405755</v>
      </c>
      <c r="S18" s="67"/>
    </row>
    <row r="19" spans="1:19" s="457" customFormat="1" ht="15" thickBot="1">
      <c r="A19" s="858" t="s">
        <v>308</v>
      </c>
      <c r="B19" s="863"/>
      <c r="C19" s="711">
        <f>transport!B14</f>
        <v>3.0617408476382817</v>
      </c>
      <c r="D19" s="711">
        <f>transport!C14</f>
        <v>0</v>
      </c>
      <c r="E19" s="711">
        <f>transport!D14</f>
        <v>15.049977125453388</v>
      </c>
      <c r="F19" s="711">
        <f>transport!E14</f>
        <v>1593.7675974547847</v>
      </c>
      <c r="G19" s="711">
        <f>transport!F14</f>
        <v>0</v>
      </c>
      <c r="H19" s="711">
        <f>transport!G14</f>
        <v>337347.38570404734</v>
      </c>
      <c r="I19" s="711">
        <f>transport!H14</f>
        <v>50601.370263788769</v>
      </c>
      <c r="J19" s="711">
        <f>transport!I14</f>
        <v>0</v>
      </c>
      <c r="K19" s="711">
        <f>transport!J14</f>
        <v>0</v>
      </c>
      <c r="L19" s="711">
        <f>transport!K14</f>
        <v>0</v>
      </c>
      <c r="M19" s="711">
        <f>transport!L14</f>
        <v>0</v>
      </c>
      <c r="N19" s="711">
        <f>transport!M14</f>
        <v>16908.510391338979</v>
      </c>
      <c r="O19" s="711">
        <f>transport!N14</f>
        <v>0</v>
      </c>
      <c r="P19" s="711">
        <f>transport!O14</f>
        <v>0</v>
      </c>
      <c r="Q19" s="712">
        <f>transport!P14</f>
        <v>0</v>
      </c>
      <c r="R19" s="713">
        <f>SUM(C19:Q19)</f>
        <v>406469.14567460294</v>
      </c>
      <c r="S19" s="67"/>
    </row>
    <row r="20" spans="1:19" s="457" customFormat="1" ht="15.75" thickBot="1">
      <c r="A20" s="714" t="s">
        <v>231</v>
      </c>
      <c r="B20" s="866"/>
      <c r="C20" s="861">
        <f>SUM(C17:C19)</f>
        <v>3.0617408476382817</v>
      </c>
      <c r="D20" s="715">
        <f t="shared" ref="D20:R20" si="1">SUM(D17:D19)</f>
        <v>0</v>
      </c>
      <c r="E20" s="715">
        <f t="shared" si="1"/>
        <v>15.049977125453388</v>
      </c>
      <c r="F20" s="715">
        <f t="shared" si="1"/>
        <v>1593.7675974547847</v>
      </c>
      <c r="G20" s="715">
        <f t="shared" si="1"/>
        <v>0</v>
      </c>
      <c r="H20" s="715">
        <f t="shared" si="1"/>
        <v>339109.45745594898</v>
      </c>
      <c r="I20" s="715">
        <f t="shared" si="1"/>
        <v>50601.370263788769</v>
      </c>
      <c r="J20" s="715">
        <f t="shared" si="1"/>
        <v>0</v>
      </c>
      <c r="K20" s="715">
        <f t="shared" si="1"/>
        <v>0</v>
      </c>
      <c r="L20" s="715">
        <f t="shared" si="1"/>
        <v>0</v>
      </c>
      <c r="M20" s="715">
        <f t="shared" si="1"/>
        <v>0</v>
      </c>
      <c r="N20" s="715">
        <f t="shared" si="1"/>
        <v>16983.619854843109</v>
      </c>
      <c r="O20" s="715">
        <f t="shared" si="1"/>
        <v>0</v>
      </c>
      <c r="P20" s="715">
        <f t="shared" si="1"/>
        <v>0</v>
      </c>
      <c r="Q20" s="716">
        <f t="shared" si="1"/>
        <v>0</v>
      </c>
      <c r="R20" s="717">
        <f t="shared" si="1"/>
        <v>408306.3268900087</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1029.9709037978571</v>
      </c>
      <c r="D22" s="711">
        <f>+landbouw!C8</f>
        <v>12947.142857142855</v>
      </c>
      <c r="E22" s="711">
        <f>+landbouw!D8</f>
        <v>0</v>
      </c>
      <c r="F22" s="711">
        <f>+landbouw!E8</f>
        <v>10.786078284178775</v>
      </c>
      <c r="G22" s="711">
        <f>+landbouw!F8</f>
        <v>5290.0945582684999</v>
      </c>
      <c r="H22" s="711">
        <f>+landbouw!G8</f>
        <v>0</v>
      </c>
      <c r="I22" s="711">
        <f>+landbouw!H8</f>
        <v>0</v>
      </c>
      <c r="J22" s="711">
        <f>+landbouw!I8</f>
        <v>0</v>
      </c>
      <c r="K22" s="711">
        <f>+landbouw!J8</f>
        <v>91.985633495850507</v>
      </c>
      <c r="L22" s="711">
        <f>+landbouw!K8</f>
        <v>0</v>
      </c>
      <c r="M22" s="711">
        <f>+landbouw!L8</f>
        <v>0</v>
      </c>
      <c r="N22" s="711">
        <f>+landbouw!M8</f>
        <v>0</v>
      </c>
      <c r="O22" s="711">
        <f>+landbouw!N8</f>
        <v>0</v>
      </c>
      <c r="P22" s="711">
        <f>+landbouw!O8</f>
        <v>0</v>
      </c>
      <c r="Q22" s="712">
        <f>+landbouw!P8</f>
        <v>0</v>
      </c>
      <c r="R22" s="713">
        <f>SUM(C22:Q22)</f>
        <v>19369.980030989242</v>
      </c>
      <c r="S22" s="67"/>
    </row>
    <row r="23" spans="1:19" s="457" customFormat="1" ht="17.25" thickTop="1" thickBot="1">
      <c r="A23" s="718" t="s">
        <v>116</v>
      </c>
      <c r="B23" s="852"/>
      <c r="C23" s="719">
        <f ca="1">C20+C15+C22</f>
        <v>183205.43796275705</v>
      </c>
      <c r="D23" s="719">
        <f t="shared" ref="D23:Q23" ca="1" si="2">D20+D15+D22</f>
        <v>12947.142857142855</v>
      </c>
      <c r="E23" s="719">
        <f t="shared" ca="1" si="2"/>
        <v>227232.3723472048</v>
      </c>
      <c r="F23" s="719">
        <f t="shared" si="2"/>
        <v>5680.5638971189228</v>
      </c>
      <c r="G23" s="719">
        <f t="shared" ca="1" si="2"/>
        <v>48860.772890066917</v>
      </c>
      <c r="H23" s="719">
        <f t="shared" si="2"/>
        <v>339109.45745594898</v>
      </c>
      <c r="I23" s="719">
        <f t="shared" si="2"/>
        <v>50601.370263788769</v>
      </c>
      <c r="J23" s="719">
        <f t="shared" si="2"/>
        <v>0</v>
      </c>
      <c r="K23" s="719">
        <f t="shared" si="2"/>
        <v>456.38044520689419</v>
      </c>
      <c r="L23" s="719">
        <f t="shared" si="2"/>
        <v>0</v>
      </c>
      <c r="M23" s="719">
        <f t="shared" ca="1" si="2"/>
        <v>0</v>
      </c>
      <c r="N23" s="719">
        <f t="shared" si="2"/>
        <v>16983.619854843109</v>
      </c>
      <c r="O23" s="719">
        <f t="shared" ca="1" si="2"/>
        <v>10843.110839881769</v>
      </c>
      <c r="P23" s="719">
        <f t="shared" si="2"/>
        <v>100.05333333333334</v>
      </c>
      <c r="Q23" s="720">
        <f t="shared" si="2"/>
        <v>190.66666666666669</v>
      </c>
      <c r="R23" s="721">
        <f ca="1">R20+R15+R22</f>
        <v>896210.94881396007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6999.6767796481845</v>
      </c>
      <c r="D36" s="702">
        <f ca="1">tertiair!C20</f>
        <v>0</v>
      </c>
      <c r="E36" s="702">
        <f ca="1">tertiair!D20</f>
        <v>5810.0317818628473</v>
      </c>
      <c r="F36" s="702">
        <f>tertiair!E20</f>
        <v>156.14765601467232</v>
      </c>
      <c r="G36" s="702">
        <f ca="1">tertiair!F20</f>
        <v>1609.3836265612381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14575.239844086944</v>
      </c>
    </row>
    <row r="37" spans="1:18">
      <c r="A37" s="873" t="s">
        <v>226</v>
      </c>
      <c r="B37" s="880"/>
      <c r="C37" s="702">
        <f ca="1">huishoudens!B12</f>
        <v>5870.1301363419234</v>
      </c>
      <c r="D37" s="702">
        <f ca="1">huishoudens!C12</f>
        <v>0</v>
      </c>
      <c r="E37" s="702">
        <f>huishoudens!D12</f>
        <v>14761.575974920357</v>
      </c>
      <c r="F37" s="702">
        <f>huishoudens!E12</f>
        <v>566.22555017774835</v>
      </c>
      <c r="G37" s="702">
        <f>huishoudens!F12</f>
        <v>4546.6395793450019</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25744.57124078503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24109.849629766941</v>
      </c>
      <c r="D39" s="702">
        <f ca="1">industrie!C22</f>
        <v>0</v>
      </c>
      <c r="E39" s="702">
        <f>industrie!D22</f>
        <v>25326.291361972824</v>
      </c>
      <c r="F39" s="702">
        <f>industrie!E22</f>
        <v>202.88111406082996</v>
      </c>
      <c r="G39" s="702">
        <f>industrie!F22</f>
        <v>5477.3479086839379</v>
      </c>
      <c r="H39" s="702">
        <f>industrie!G22</f>
        <v>0</v>
      </c>
      <c r="I39" s="702">
        <f>industrie!H22</f>
        <v>0</v>
      </c>
      <c r="J39" s="702">
        <f>industrie!I22</f>
        <v>0</v>
      </c>
      <c r="K39" s="702">
        <f>industrie!J22</f>
        <v>128.99576334570946</v>
      </c>
      <c r="L39" s="702">
        <f>industrie!K22</f>
        <v>0</v>
      </c>
      <c r="M39" s="702">
        <f>industrie!L22</f>
        <v>0</v>
      </c>
      <c r="N39" s="702">
        <f>industrie!M22</f>
        <v>0</v>
      </c>
      <c r="O39" s="702">
        <f>industrie!N22</f>
        <v>0</v>
      </c>
      <c r="P39" s="702">
        <f>industrie!O22</f>
        <v>0</v>
      </c>
      <c r="Q39" s="812">
        <f>industrie!P22</f>
        <v>0</v>
      </c>
      <c r="R39" s="906">
        <f ca="1">SUM(C39:Q39)</f>
        <v>55245.365777830244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36979.656545757047</v>
      </c>
      <c r="D41" s="747">
        <f t="shared" ref="D41:R41" ca="1" si="4">SUM(D35:D40)</f>
        <v>0</v>
      </c>
      <c r="E41" s="747">
        <f t="shared" ca="1" si="4"/>
        <v>45897.899118756031</v>
      </c>
      <c r="F41" s="747">
        <f t="shared" si="4"/>
        <v>925.25432025325063</v>
      </c>
      <c r="G41" s="747">
        <f t="shared" ca="1" si="4"/>
        <v>11633.371114590178</v>
      </c>
      <c r="H41" s="747">
        <f t="shared" si="4"/>
        <v>0</v>
      </c>
      <c r="I41" s="747">
        <f t="shared" si="4"/>
        <v>0</v>
      </c>
      <c r="J41" s="747">
        <f t="shared" si="4"/>
        <v>0</v>
      </c>
      <c r="K41" s="747">
        <f t="shared" si="4"/>
        <v>128.99576334570946</v>
      </c>
      <c r="L41" s="747">
        <f t="shared" si="4"/>
        <v>0</v>
      </c>
      <c r="M41" s="747">
        <f t="shared" ca="1" si="4"/>
        <v>0</v>
      </c>
      <c r="N41" s="747">
        <f t="shared" si="4"/>
        <v>0</v>
      </c>
      <c r="O41" s="747">
        <f t="shared" ca="1" si="4"/>
        <v>0</v>
      </c>
      <c r="P41" s="747">
        <f t="shared" si="4"/>
        <v>0</v>
      </c>
      <c r="Q41" s="748">
        <f t="shared" si="4"/>
        <v>0</v>
      </c>
      <c r="R41" s="749">
        <f t="shared" ca="1" si="4"/>
        <v>95565.17686270221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470.47315775773359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470.47315775773359</v>
      </c>
    </row>
    <row r="45" spans="1:18" ht="15" thickBot="1">
      <c r="A45" s="876" t="s">
        <v>308</v>
      </c>
      <c r="B45" s="886"/>
      <c r="C45" s="711">
        <f ca="1">transport!B18</f>
        <v>0.62151084177688132</v>
      </c>
      <c r="D45" s="711">
        <f>transport!C18</f>
        <v>0</v>
      </c>
      <c r="E45" s="711">
        <f>transport!D18</f>
        <v>3.0400953793415848</v>
      </c>
      <c r="F45" s="711">
        <f>transport!E18</f>
        <v>361.78524462223612</v>
      </c>
      <c r="G45" s="711">
        <f>transport!F18</f>
        <v>0</v>
      </c>
      <c r="H45" s="711">
        <f>transport!G18</f>
        <v>90071.751982980641</v>
      </c>
      <c r="I45" s="711">
        <f>transport!H18</f>
        <v>12599.741195683404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103036.94002950739</v>
      </c>
    </row>
    <row r="46" spans="1:18" ht="15.75" thickBot="1">
      <c r="A46" s="874" t="s">
        <v>231</v>
      </c>
      <c r="B46" s="887"/>
      <c r="C46" s="747">
        <f t="shared" ref="C46:R46" ca="1" si="5">SUM(C43:C45)</f>
        <v>0.62151084177688132</v>
      </c>
      <c r="D46" s="747">
        <f t="shared" ca="1" si="5"/>
        <v>0</v>
      </c>
      <c r="E46" s="747">
        <f t="shared" si="5"/>
        <v>3.0400953793415848</v>
      </c>
      <c r="F46" s="747">
        <f t="shared" si="5"/>
        <v>361.78524462223612</v>
      </c>
      <c r="G46" s="747">
        <f t="shared" si="5"/>
        <v>0</v>
      </c>
      <c r="H46" s="747">
        <f t="shared" si="5"/>
        <v>90542.225140738374</v>
      </c>
      <c r="I46" s="747">
        <f t="shared" si="5"/>
        <v>12599.741195683404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103507.41318726512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209.07650754272075</v>
      </c>
      <c r="D48" s="702">
        <f ca="1">+landbouw!C12</f>
        <v>3076.8504201680662</v>
      </c>
      <c r="E48" s="702">
        <f>+landbouw!D12</f>
        <v>0</v>
      </c>
      <c r="F48" s="702">
        <f>+landbouw!E12</f>
        <v>2.4484397705085819</v>
      </c>
      <c r="G48" s="702">
        <f>+landbouw!F12</f>
        <v>1412.4552470576896</v>
      </c>
      <c r="H48" s="702">
        <f>+landbouw!G12</f>
        <v>0</v>
      </c>
      <c r="I48" s="702">
        <f>+landbouw!H12</f>
        <v>0</v>
      </c>
      <c r="J48" s="702">
        <f>+landbouw!I12</f>
        <v>0</v>
      </c>
      <c r="K48" s="702">
        <f>+landbouw!J12</f>
        <v>32.562914257531077</v>
      </c>
      <c r="L48" s="702">
        <f>+landbouw!K12</f>
        <v>0</v>
      </c>
      <c r="M48" s="702">
        <f>+landbouw!L12</f>
        <v>0</v>
      </c>
      <c r="N48" s="702">
        <f>+landbouw!M12</f>
        <v>0</v>
      </c>
      <c r="O48" s="702">
        <f>+landbouw!N12</f>
        <v>0</v>
      </c>
      <c r="P48" s="702">
        <f>+landbouw!O12</f>
        <v>0</v>
      </c>
      <c r="Q48" s="703">
        <f>+landbouw!P12</f>
        <v>0</v>
      </c>
      <c r="R48" s="745">
        <f ca="1">SUM(C48:Q48)</f>
        <v>4733.393528796516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37189.35456414154</v>
      </c>
      <c r="D53" s="757">
        <f t="shared" ref="D53:Q53" ca="1" si="6">D41+D46+D48</f>
        <v>3076.8504201680662</v>
      </c>
      <c r="E53" s="757">
        <f t="shared" ca="1" si="6"/>
        <v>45900.939214135375</v>
      </c>
      <c r="F53" s="757">
        <f t="shared" si="6"/>
        <v>1289.4880046459955</v>
      </c>
      <c r="G53" s="757">
        <f t="shared" ca="1" si="6"/>
        <v>13045.826361647867</v>
      </c>
      <c r="H53" s="757">
        <f t="shared" si="6"/>
        <v>90542.225140738374</v>
      </c>
      <c r="I53" s="757">
        <f t="shared" si="6"/>
        <v>12599.741195683404</v>
      </c>
      <c r="J53" s="757">
        <f t="shared" si="6"/>
        <v>0</v>
      </c>
      <c r="K53" s="757">
        <f t="shared" si="6"/>
        <v>161.55867760324054</v>
      </c>
      <c r="L53" s="757">
        <f t="shared" si="6"/>
        <v>0</v>
      </c>
      <c r="M53" s="757">
        <f t="shared" ca="1" si="6"/>
        <v>0</v>
      </c>
      <c r="N53" s="757">
        <f t="shared" si="6"/>
        <v>0</v>
      </c>
      <c r="O53" s="757">
        <f t="shared" ca="1" si="6"/>
        <v>0</v>
      </c>
      <c r="P53" s="757">
        <f>P41+P46+P48</f>
        <v>0</v>
      </c>
      <c r="Q53" s="758">
        <f t="shared" si="6"/>
        <v>0</v>
      </c>
      <c r="R53" s="759">
        <f ca="1">R41+R46+R48</f>
        <v>203805.98357876387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0.20299263481306482</v>
      </c>
      <c r="D55" s="823">
        <f t="shared" ca="1" si="7"/>
        <v>0.23764705882352938</v>
      </c>
      <c r="E55" s="823">
        <f t="shared" ca="1" si="7"/>
        <v>0.20200000000000001</v>
      </c>
      <c r="F55" s="823">
        <f t="shared" si="7"/>
        <v>0.22700000000000001</v>
      </c>
      <c r="G55" s="823">
        <f t="shared" ca="1" si="7"/>
        <v>0.26700000000000002</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11397.893748012835</v>
      </c>
      <c r="C64" s="779">
        <f>'lokale energieproductie'!B4</f>
        <v>11397.893748012835</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4212.6018164460365</v>
      </c>
      <c r="C66" s="779">
        <f>'lokale energieproductie'!B6</f>
        <v>4212.6018164460365</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9062.9999999999982</v>
      </c>
      <c r="C67" s="778">
        <f>B67*IFERROR(SUM(J67:L67)/SUM(D67:M67),0)</f>
        <v>0</v>
      </c>
      <c r="D67" s="810">
        <f>'lokale energieproductie'!C7</f>
        <v>10662.352941176468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2153.7952941176468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24673.49556445887</v>
      </c>
      <c r="C69" s="787">
        <f>SUM(C64:C68)</f>
        <v>15610.495564458872</v>
      </c>
      <c r="D69" s="788">
        <f t="shared" ref="D69:M69" si="8">SUM(D67:D68)</f>
        <v>10662.352941176468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2153.7952941176468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12947.142857142855</v>
      </c>
      <c r="C78" s="801">
        <f>B78*IFERROR(SUM(I78:L78)/SUM(D78:M78),0)</f>
        <v>0</v>
      </c>
      <c r="D78" s="816">
        <f>'lokale energieproductie'!C16</f>
        <v>15231.932773109238</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3076.8504201680662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12947.142857142855</v>
      </c>
      <c r="C81" s="787">
        <f>SUM(C78:C80)</f>
        <v>0</v>
      </c>
      <c r="D81" s="787">
        <f t="shared" ref="D81:P81" si="9">SUM(D78:D80)</f>
        <v>15231.932773109238</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3076.8504201680662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28917.94641587713</v>
      </c>
      <c r="C4" s="461">
        <f>huishoudens!C8</f>
        <v>0</v>
      </c>
      <c r="D4" s="461">
        <f>huishoudens!D8</f>
        <v>73077.108786734432</v>
      </c>
      <c r="E4" s="461">
        <f>huishoudens!E8</f>
        <v>2494.3856836024156</v>
      </c>
      <c r="F4" s="461">
        <f>huishoudens!F8</f>
        <v>17028.612656722853</v>
      </c>
      <c r="G4" s="461">
        <f>huishoudens!G8</f>
        <v>0</v>
      </c>
      <c r="H4" s="461">
        <f>huishoudens!H8</f>
        <v>0</v>
      </c>
      <c r="I4" s="461">
        <f>huishoudens!I8</f>
        <v>0</v>
      </c>
      <c r="J4" s="461">
        <f>huishoudens!J8</f>
        <v>0</v>
      </c>
      <c r="K4" s="461">
        <f>huishoudens!K8</f>
        <v>0</v>
      </c>
      <c r="L4" s="461">
        <f>huishoudens!L8</f>
        <v>0</v>
      </c>
      <c r="M4" s="461">
        <f>huishoudens!M8</f>
        <v>0</v>
      </c>
      <c r="N4" s="461">
        <f>huishoudens!N8</f>
        <v>7844.6880607922067</v>
      </c>
      <c r="O4" s="461">
        <f>huishoudens!O8</f>
        <v>98.490000000000009</v>
      </c>
      <c r="P4" s="462">
        <f>huishoudens!P8</f>
        <v>133.46666666666667</v>
      </c>
      <c r="Q4" s="463">
        <f>SUM(B4:P4)</f>
        <v>129594.6982703957</v>
      </c>
    </row>
    <row r="5" spans="1:17">
      <c r="A5" s="460" t="s">
        <v>156</v>
      </c>
      <c r="B5" s="461">
        <f ca="1">tertiair!B16</f>
        <v>33001.181483245935</v>
      </c>
      <c r="C5" s="461">
        <f ca="1">tertiair!C16</f>
        <v>0</v>
      </c>
      <c r="D5" s="461">
        <f ca="1">tertiair!D16</f>
        <v>28762.53357357845</v>
      </c>
      <c r="E5" s="461">
        <f>tertiair!E16</f>
        <v>687.87513662851245</v>
      </c>
      <c r="F5" s="461">
        <f ca="1">tertiair!F16</f>
        <v>6027.6540320645618</v>
      </c>
      <c r="G5" s="461">
        <f>tertiair!G16</f>
        <v>0</v>
      </c>
      <c r="H5" s="461">
        <f>tertiair!H16</f>
        <v>0</v>
      </c>
      <c r="I5" s="461">
        <f>tertiair!I16</f>
        <v>0</v>
      </c>
      <c r="J5" s="461">
        <f>tertiair!J16</f>
        <v>0</v>
      </c>
      <c r="K5" s="461">
        <f>tertiair!K16</f>
        <v>0</v>
      </c>
      <c r="L5" s="461">
        <f ca="1">tertiair!L16</f>
        <v>0</v>
      </c>
      <c r="M5" s="461">
        <f>tertiair!M16</f>
        <v>0</v>
      </c>
      <c r="N5" s="461">
        <f ca="1">tertiair!N16</f>
        <v>897.71202789470908</v>
      </c>
      <c r="O5" s="461">
        <f>tertiair!O16</f>
        <v>1.5633333333333335</v>
      </c>
      <c r="P5" s="462">
        <f>tertiair!P16</f>
        <v>57.2</v>
      </c>
      <c r="Q5" s="460">
        <f t="shared" ref="Q5:Q13" ca="1" si="0">SUM(B5:P5)</f>
        <v>69435.719586745501</v>
      </c>
    </row>
    <row r="6" spans="1:17">
      <c r="A6" s="460" t="s">
        <v>195</v>
      </c>
      <c r="B6" s="461">
        <f>'openbare verlichting'!B8</f>
        <v>1481.2360000000001</v>
      </c>
      <c r="C6" s="461"/>
      <c r="D6" s="461"/>
      <c r="E6" s="461"/>
      <c r="F6" s="461"/>
      <c r="G6" s="461"/>
      <c r="H6" s="461"/>
      <c r="I6" s="461"/>
      <c r="J6" s="461"/>
      <c r="K6" s="461"/>
      <c r="L6" s="461"/>
      <c r="M6" s="461"/>
      <c r="N6" s="461"/>
      <c r="O6" s="461"/>
      <c r="P6" s="462"/>
      <c r="Q6" s="460">
        <f t="shared" si="0"/>
        <v>1481.2360000000001</v>
      </c>
    </row>
    <row r="7" spans="1:17">
      <c r="A7" s="460" t="s">
        <v>112</v>
      </c>
      <c r="B7" s="461">
        <f>landbouw!B8</f>
        <v>1029.9709037978571</v>
      </c>
      <c r="C7" s="461">
        <f>landbouw!C8</f>
        <v>12947.142857142855</v>
      </c>
      <c r="D7" s="461">
        <f>landbouw!D8</f>
        <v>0</v>
      </c>
      <c r="E7" s="461">
        <f>landbouw!E8</f>
        <v>10.786078284178775</v>
      </c>
      <c r="F7" s="461">
        <f>landbouw!F8</f>
        <v>5290.0945582684999</v>
      </c>
      <c r="G7" s="461">
        <f>landbouw!G8</f>
        <v>0</v>
      </c>
      <c r="H7" s="461">
        <f>landbouw!H8</f>
        <v>0</v>
      </c>
      <c r="I7" s="461">
        <f>landbouw!I8</f>
        <v>0</v>
      </c>
      <c r="J7" s="461">
        <f>landbouw!J8</f>
        <v>91.985633495850507</v>
      </c>
      <c r="K7" s="461">
        <f>landbouw!K8</f>
        <v>0</v>
      </c>
      <c r="L7" s="461">
        <f>landbouw!L8</f>
        <v>0</v>
      </c>
      <c r="M7" s="461">
        <f>landbouw!M8</f>
        <v>0</v>
      </c>
      <c r="N7" s="461">
        <f>landbouw!N8</f>
        <v>0</v>
      </c>
      <c r="O7" s="461">
        <f>landbouw!O8</f>
        <v>0</v>
      </c>
      <c r="P7" s="462">
        <f>landbouw!P8</f>
        <v>0</v>
      </c>
      <c r="Q7" s="460">
        <f t="shared" si="0"/>
        <v>19369.980030989242</v>
      </c>
    </row>
    <row r="8" spans="1:17">
      <c r="A8" s="460" t="s">
        <v>656</v>
      </c>
      <c r="B8" s="461">
        <f>industrie!B18</f>
        <v>118772.04141898849</v>
      </c>
      <c r="C8" s="461">
        <f>industrie!C18</f>
        <v>0</v>
      </c>
      <c r="D8" s="461">
        <f>industrie!D18</f>
        <v>125377.68000976645</v>
      </c>
      <c r="E8" s="461">
        <f>industrie!E18</f>
        <v>893.74940114903063</v>
      </c>
      <c r="F8" s="461">
        <f>industrie!F18</f>
        <v>20514.411643011001</v>
      </c>
      <c r="G8" s="461">
        <f>industrie!G18</f>
        <v>0</v>
      </c>
      <c r="H8" s="461">
        <f>industrie!H18</f>
        <v>0</v>
      </c>
      <c r="I8" s="461">
        <f>industrie!I18</f>
        <v>0</v>
      </c>
      <c r="J8" s="461">
        <f>industrie!J18</f>
        <v>364.3948117110437</v>
      </c>
      <c r="K8" s="461">
        <f>industrie!K18</f>
        <v>0</v>
      </c>
      <c r="L8" s="461">
        <f>industrie!L18</f>
        <v>0</v>
      </c>
      <c r="M8" s="461">
        <f>industrie!M18</f>
        <v>0</v>
      </c>
      <c r="N8" s="461">
        <f>industrie!N18</f>
        <v>2100.7107511948525</v>
      </c>
      <c r="O8" s="461">
        <f>industrie!O18</f>
        <v>0</v>
      </c>
      <c r="P8" s="462">
        <f>industrie!P18</f>
        <v>0</v>
      </c>
      <c r="Q8" s="460">
        <f t="shared" si="0"/>
        <v>268022.98803582089</v>
      </c>
    </row>
    <row r="9" spans="1:17" s="466" customFormat="1">
      <c r="A9" s="464" t="s">
        <v>574</v>
      </c>
      <c r="B9" s="465">
        <f>transport!B14</f>
        <v>3.0617408476382817</v>
      </c>
      <c r="C9" s="465"/>
      <c r="D9" s="465">
        <f>transport!D14</f>
        <v>15.049977125453388</v>
      </c>
      <c r="E9" s="465">
        <f>transport!E14</f>
        <v>1593.7675974547847</v>
      </c>
      <c r="F9" s="465"/>
      <c r="G9" s="465">
        <f>transport!G14</f>
        <v>337347.38570404734</v>
      </c>
      <c r="H9" s="465">
        <f>transport!H14</f>
        <v>50601.370263788769</v>
      </c>
      <c r="I9" s="465"/>
      <c r="J9" s="465"/>
      <c r="K9" s="465"/>
      <c r="L9" s="465"/>
      <c r="M9" s="465">
        <f>transport!M14</f>
        <v>16908.510391338979</v>
      </c>
      <c r="N9" s="465"/>
      <c r="O9" s="465"/>
      <c r="P9" s="465"/>
      <c r="Q9" s="464">
        <f>SUM(B9:P9)</f>
        <v>406469.14567460294</v>
      </c>
    </row>
    <row r="10" spans="1:17">
      <c r="A10" s="460" t="s">
        <v>564</v>
      </c>
      <c r="B10" s="461">
        <f>transport!B54</f>
        <v>0</v>
      </c>
      <c r="C10" s="461"/>
      <c r="D10" s="461">
        <f>transport!D54</f>
        <v>0</v>
      </c>
      <c r="E10" s="461"/>
      <c r="F10" s="461"/>
      <c r="G10" s="461">
        <f>transport!G54</f>
        <v>1762.0717519016239</v>
      </c>
      <c r="H10" s="461"/>
      <c r="I10" s="461"/>
      <c r="J10" s="461"/>
      <c r="K10" s="461"/>
      <c r="L10" s="461"/>
      <c r="M10" s="461">
        <f>transport!M54</f>
        <v>75.109463504131057</v>
      </c>
      <c r="N10" s="461"/>
      <c r="O10" s="461"/>
      <c r="P10" s="462"/>
      <c r="Q10" s="460">
        <f t="shared" si="0"/>
        <v>1837.181215405755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183205.43796275705</v>
      </c>
      <c r="C14" s="471">
        <f t="shared" ref="C14:Q14" ca="1" si="1">SUM(C4:C13)</f>
        <v>12947.142857142855</v>
      </c>
      <c r="D14" s="471">
        <f t="shared" ca="1" si="1"/>
        <v>227232.3723472048</v>
      </c>
      <c r="E14" s="471">
        <f t="shared" si="1"/>
        <v>5680.5638971189219</v>
      </c>
      <c r="F14" s="471">
        <f t="shared" ca="1" si="1"/>
        <v>48860.772890066917</v>
      </c>
      <c r="G14" s="471">
        <f t="shared" si="1"/>
        <v>339109.45745594898</v>
      </c>
      <c r="H14" s="471">
        <f t="shared" si="1"/>
        <v>50601.370263788769</v>
      </c>
      <c r="I14" s="471">
        <f t="shared" si="1"/>
        <v>0</v>
      </c>
      <c r="J14" s="471">
        <f t="shared" si="1"/>
        <v>456.38044520689419</v>
      </c>
      <c r="K14" s="471">
        <f t="shared" si="1"/>
        <v>0</v>
      </c>
      <c r="L14" s="471">
        <f t="shared" ca="1" si="1"/>
        <v>0</v>
      </c>
      <c r="M14" s="471">
        <f t="shared" si="1"/>
        <v>16983.619854843109</v>
      </c>
      <c r="N14" s="471">
        <f t="shared" ca="1" si="1"/>
        <v>10843.110839881769</v>
      </c>
      <c r="O14" s="471">
        <f t="shared" si="1"/>
        <v>100.05333333333334</v>
      </c>
      <c r="P14" s="472">
        <f t="shared" si="1"/>
        <v>190.66666666666669</v>
      </c>
      <c r="Q14" s="472">
        <f t="shared" ca="1" si="1"/>
        <v>896210.94881395996</v>
      </c>
    </row>
    <row r="16" spans="1:17">
      <c r="A16" s="474" t="s">
        <v>569</v>
      </c>
      <c r="B16" s="828">
        <f ca="1">huishoudens!B10</f>
        <v>0.20299263481306484</v>
      </c>
      <c r="C16" s="828">
        <f ca="1">huishoudens!C10</f>
        <v>0.23764705882352938</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5870.1301363419234</v>
      </c>
      <c r="C21" s="461">
        <f t="shared" ref="C21:C28" ca="1" si="3">C4*$C$16</f>
        <v>0</v>
      </c>
      <c r="D21" s="461">
        <f t="shared" ref="D21:D30" si="4">D4*$D$16</f>
        <v>14761.575974920357</v>
      </c>
      <c r="E21" s="461">
        <f t="shared" ref="E21:E30" si="5">E4*$E$16</f>
        <v>566.22555017774835</v>
      </c>
      <c r="F21" s="461">
        <f t="shared" ref="F21:F28" si="6">F4*$F$16</f>
        <v>4546.6395793450019</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25744.57124078503</v>
      </c>
    </row>
    <row r="22" spans="1:17">
      <c r="A22" s="460" t="s">
        <v>156</v>
      </c>
      <c r="B22" s="461">
        <f t="shared" ca="1" si="2"/>
        <v>6698.9967812282193</v>
      </c>
      <c r="C22" s="461">
        <f t="shared" ca="1" si="3"/>
        <v>0</v>
      </c>
      <c r="D22" s="461">
        <f t="shared" ca="1" si="4"/>
        <v>5810.0317818628473</v>
      </c>
      <c r="E22" s="461">
        <f t="shared" si="5"/>
        <v>156.14765601467232</v>
      </c>
      <c r="F22" s="461">
        <f t="shared" ca="1" si="6"/>
        <v>1609.3836265612381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14274.559845666976</v>
      </c>
    </row>
    <row r="23" spans="1:17">
      <c r="A23" s="460" t="s">
        <v>195</v>
      </c>
      <c r="B23" s="461">
        <f t="shared" ca="1" si="2"/>
        <v>300.67999841996493</v>
      </c>
      <c r="C23" s="461"/>
      <c r="D23" s="461"/>
      <c r="E23" s="461"/>
      <c r="F23" s="461"/>
      <c r="G23" s="461"/>
      <c r="H23" s="461"/>
      <c r="I23" s="461"/>
      <c r="J23" s="461"/>
      <c r="K23" s="461"/>
      <c r="L23" s="461"/>
      <c r="M23" s="461"/>
      <c r="N23" s="461"/>
      <c r="O23" s="461"/>
      <c r="P23" s="462"/>
      <c r="Q23" s="460">
        <f t="shared" ca="1" si="17"/>
        <v>300.67999841996493</v>
      </c>
    </row>
    <row r="24" spans="1:17">
      <c r="A24" s="460" t="s">
        <v>112</v>
      </c>
      <c r="B24" s="461">
        <f t="shared" ca="1" si="2"/>
        <v>209.07650754272075</v>
      </c>
      <c r="C24" s="461">
        <f t="shared" ca="1" si="3"/>
        <v>3076.8504201680662</v>
      </c>
      <c r="D24" s="461">
        <f t="shared" si="4"/>
        <v>0</v>
      </c>
      <c r="E24" s="461">
        <f t="shared" si="5"/>
        <v>2.4484397705085819</v>
      </c>
      <c r="F24" s="461">
        <f t="shared" si="6"/>
        <v>1412.4552470576896</v>
      </c>
      <c r="G24" s="461">
        <f t="shared" si="7"/>
        <v>0</v>
      </c>
      <c r="H24" s="461">
        <f t="shared" si="8"/>
        <v>0</v>
      </c>
      <c r="I24" s="461">
        <f t="shared" si="9"/>
        <v>0</v>
      </c>
      <c r="J24" s="461">
        <f t="shared" si="10"/>
        <v>32.562914257531077</v>
      </c>
      <c r="K24" s="461">
        <f t="shared" si="11"/>
        <v>0</v>
      </c>
      <c r="L24" s="461">
        <f t="shared" si="12"/>
        <v>0</v>
      </c>
      <c r="M24" s="461">
        <f t="shared" si="13"/>
        <v>0</v>
      </c>
      <c r="N24" s="461">
        <f t="shared" si="14"/>
        <v>0</v>
      </c>
      <c r="O24" s="461">
        <f t="shared" si="15"/>
        <v>0</v>
      </c>
      <c r="P24" s="462">
        <f t="shared" si="16"/>
        <v>0</v>
      </c>
      <c r="Q24" s="460">
        <f t="shared" ca="1" si="17"/>
        <v>4733.393528796516</v>
      </c>
    </row>
    <row r="25" spans="1:17">
      <c r="A25" s="460" t="s">
        <v>656</v>
      </c>
      <c r="B25" s="461">
        <f t="shared" ca="1" si="2"/>
        <v>24109.849629766941</v>
      </c>
      <c r="C25" s="461">
        <f t="shared" ca="1" si="3"/>
        <v>0</v>
      </c>
      <c r="D25" s="461">
        <f t="shared" si="4"/>
        <v>25326.291361972824</v>
      </c>
      <c r="E25" s="461">
        <f t="shared" si="5"/>
        <v>202.88111406082996</v>
      </c>
      <c r="F25" s="461">
        <f t="shared" si="6"/>
        <v>5477.3479086839379</v>
      </c>
      <c r="G25" s="461">
        <f t="shared" si="7"/>
        <v>0</v>
      </c>
      <c r="H25" s="461">
        <f t="shared" si="8"/>
        <v>0</v>
      </c>
      <c r="I25" s="461">
        <f t="shared" si="9"/>
        <v>0</v>
      </c>
      <c r="J25" s="461">
        <f t="shared" si="10"/>
        <v>128.99576334570946</v>
      </c>
      <c r="K25" s="461">
        <f t="shared" si="11"/>
        <v>0</v>
      </c>
      <c r="L25" s="461">
        <f t="shared" si="12"/>
        <v>0</v>
      </c>
      <c r="M25" s="461">
        <f t="shared" si="13"/>
        <v>0</v>
      </c>
      <c r="N25" s="461">
        <f t="shared" si="14"/>
        <v>0</v>
      </c>
      <c r="O25" s="461">
        <f t="shared" si="15"/>
        <v>0</v>
      </c>
      <c r="P25" s="462">
        <f t="shared" si="16"/>
        <v>0</v>
      </c>
      <c r="Q25" s="460">
        <f t="shared" ca="1" si="17"/>
        <v>55245.365777830244</v>
      </c>
    </row>
    <row r="26" spans="1:17" s="466" customFormat="1">
      <c r="A26" s="464" t="s">
        <v>574</v>
      </c>
      <c r="B26" s="822">
        <f t="shared" ca="1" si="2"/>
        <v>0.62151084177688132</v>
      </c>
      <c r="C26" s="465"/>
      <c r="D26" s="465">
        <f t="shared" si="4"/>
        <v>3.0400953793415848</v>
      </c>
      <c r="E26" s="465">
        <f t="shared" si="5"/>
        <v>361.78524462223612</v>
      </c>
      <c r="F26" s="465"/>
      <c r="G26" s="465">
        <f t="shared" si="7"/>
        <v>90071.751982980641</v>
      </c>
      <c r="H26" s="465">
        <f t="shared" si="8"/>
        <v>12599.741195683404</v>
      </c>
      <c r="I26" s="465"/>
      <c r="J26" s="465"/>
      <c r="K26" s="465"/>
      <c r="L26" s="465"/>
      <c r="M26" s="465">
        <f t="shared" si="13"/>
        <v>0</v>
      </c>
      <c r="N26" s="465"/>
      <c r="O26" s="465"/>
      <c r="P26" s="476"/>
      <c r="Q26" s="464">
        <f t="shared" ca="1" si="17"/>
        <v>103036.94002950739</v>
      </c>
    </row>
    <row r="27" spans="1:17">
      <c r="A27" s="460" t="s">
        <v>564</v>
      </c>
      <c r="B27" s="461">
        <f t="shared" ca="1" si="2"/>
        <v>0</v>
      </c>
      <c r="C27" s="461"/>
      <c r="D27" s="465">
        <f>D10*$D$16</f>
        <v>0</v>
      </c>
      <c r="E27" s="461"/>
      <c r="F27" s="461"/>
      <c r="G27" s="461">
        <f t="shared" si="7"/>
        <v>470.47315775773359</v>
      </c>
      <c r="H27" s="461"/>
      <c r="I27" s="461"/>
      <c r="J27" s="461"/>
      <c r="K27" s="461"/>
      <c r="L27" s="461"/>
      <c r="M27" s="461">
        <f t="shared" si="13"/>
        <v>0</v>
      </c>
      <c r="N27" s="461"/>
      <c r="O27" s="461"/>
      <c r="P27" s="462"/>
      <c r="Q27" s="460">
        <f t="shared" ca="1" si="17"/>
        <v>470.47315775773359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37189.35456414154</v>
      </c>
      <c r="C31" s="471">
        <f t="shared" ca="1" si="18"/>
        <v>3076.8504201680662</v>
      </c>
      <c r="D31" s="471">
        <f t="shared" ca="1" si="18"/>
        <v>45900.939214135375</v>
      </c>
      <c r="E31" s="471">
        <f t="shared" si="18"/>
        <v>1289.4880046459953</v>
      </c>
      <c r="F31" s="471">
        <f t="shared" ca="1" si="18"/>
        <v>13045.826361647867</v>
      </c>
      <c r="G31" s="471">
        <f t="shared" si="18"/>
        <v>90542.225140738374</v>
      </c>
      <c r="H31" s="471">
        <f t="shared" si="18"/>
        <v>12599.741195683404</v>
      </c>
      <c r="I31" s="471">
        <f t="shared" si="18"/>
        <v>0</v>
      </c>
      <c r="J31" s="471">
        <f t="shared" si="18"/>
        <v>161.55867760324054</v>
      </c>
      <c r="K31" s="471">
        <f t="shared" si="18"/>
        <v>0</v>
      </c>
      <c r="L31" s="471">
        <f t="shared" ca="1" si="18"/>
        <v>0</v>
      </c>
      <c r="M31" s="471">
        <f t="shared" si="18"/>
        <v>0</v>
      </c>
      <c r="N31" s="471">
        <f t="shared" ca="1" si="18"/>
        <v>0</v>
      </c>
      <c r="O31" s="471">
        <f t="shared" si="18"/>
        <v>0</v>
      </c>
      <c r="P31" s="472">
        <f t="shared" si="18"/>
        <v>0</v>
      </c>
      <c r="Q31" s="472">
        <f t="shared" ca="1" si="18"/>
        <v>203805.98357876387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0.20299263481306484</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0.20299263481306484</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0.20299263481306484</v>
      </c>
      <c r="C29" s="512">
        <f ca="1">'EF ele_warmte'!B22</f>
        <v>0.23764705882352938</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12030</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6694</v>
      </c>
      <c r="C9" s="336">
        <v>7472</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1147</v>
      </c>
    </row>
    <row r="15" spans="1:6">
      <c r="A15" s="1251" t="s">
        <v>185</v>
      </c>
      <c r="B15" s="333">
        <v>1029</v>
      </c>
    </row>
    <row r="16" spans="1:6">
      <c r="A16" s="1251" t="s">
        <v>6</v>
      </c>
      <c r="B16" s="333">
        <v>538</v>
      </c>
    </row>
    <row r="17" spans="1:6">
      <c r="A17" s="1251" t="s">
        <v>7</v>
      </c>
      <c r="B17" s="333">
        <v>10</v>
      </c>
    </row>
    <row r="18" spans="1:6">
      <c r="A18" s="1251" t="s">
        <v>8</v>
      </c>
      <c r="B18" s="333">
        <v>225</v>
      </c>
    </row>
    <row r="19" spans="1:6">
      <c r="A19" s="1251" t="s">
        <v>9</v>
      </c>
      <c r="B19" s="333">
        <v>69</v>
      </c>
    </row>
    <row r="20" spans="1:6">
      <c r="A20" s="1251" t="s">
        <v>10</v>
      </c>
      <c r="B20" s="333">
        <v>64</v>
      </c>
    </row>
    <row r="21" spans="1:6">
      <c r="A21" s="1251" t="s">
        <v>11</v>
      </c>
      <c r="B21" s="333">
        <v>0</v>
      </c>
    </row>
    <row r="22" spans="1:6">
      <c r="A22" s="1251" t="s">
        <v>12</v>
      </c>
      <c r="B22" s="333">
        <v>1</v>
      </c>
    </row>
    <row r="23" spans="1:6">
      <c r="A23" s="1251" t="s">
        <v>13</v>
      </c>
      <c r="B23" s="333">
        <v>0</v>
      </c>
    </row>
    <row r="24" spans="1:6">
      <c r="A24" s="1251" t="s">
        <v>14</v>
      </c>
      <c r="B24" s="333">
        <v>0</v>
      </c>
    </row>
    <row r="25" spans="1:6">
      <c r="A25" s="1251" t="s">
        <v>15</v>
      </c>
      <c r="B25" s="333">
        <v>0</v>
      </c>
    </row>
    <row r="26" spans="1:6">
      <c r="A26" s="1251" t="s">
        <v>16</v>
      </c>
      <c r="B26" s="333">
        <v>0</v>
      </c>
    </row>
    <row r="27" spans="1:6">
      <c r="A27" s="1251" t="s">
        <v>17</v>
      </c>
      <c r="B27" s="333">
        <v>0</v>
      </c>
    </row>
    <row r="28" spans="1:6">
      <c r="A28" s="1251" t="s">
        <v>18</v>
      </c>
      <c r="B28" s="333">
        <v>2720</v>
      </c>
    </row>
    <row r="29" spans="1:6">
      <c r="A29" s="1251" t="s">
        <v>925</v>
      </c>
      <c r="B29" s="333">
        <v>113</v>
      </c>
    </row>
    <row r="30" spans="1:6">
      <c r="A30" s="1247" t="s">
        <v>926</v>
      </c>
      <c r="B30" s="1247">
        <v>38</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4</v>
      </c>
      <c r="F38" s="333">
        <v>49849.500480000002</v>
      </c>
    </row>
    <row r="39" spans="1:6">
      <c r="A39" s="1251" t="s">
        <v>30</v>
      </c>
      <c r="B39" s="1251" t="s">
        <v>31</v>
      </c>
      <c r="C39" s="333">
        <v>4775</v>
      </c>
      <c r="D39" s="333">
        <v>81016750.317887396</v>
      </c>
      <c r="E39" s="333">
        <v>6603</v>
      </c>
      <c r="F39" s="333">
        <v>27276460.191357799</v>
      </c>
    </row>
    <row r="40" spans="1:6">
      <c r="A40" s="1251" t="s">
        <v>30</v>
      </c>
      <c r="B40" s="1251" t="s">
        <v>29</v>
      </c>
      <c r="C40" s="333">
        <v>0</v>
      </c>
      <c r="D40" s="333">
        <v>0</v>
      </c>
      <c r="E40" s="333">
        <v>0</v>
      </c>
      <c r="F40" s="333">
        <v>0</v>
      </c>
    </row>
    <row r="41" spans="1:6">
      <c r="A41" s="1251" t="s">
        <v>32</v>
      </c>
      <c r="B41" s="1251" t="s">
        <v>33</v>
      </c>
      <c r="C41" s="333">
        <v>36</v>
      </c>
      <c r="D41" s="333">
        <v>7603867.6640205299</v>
      </c>
      <c r="E41" s="333">
        <v>117</v>
      </c>
      <c r="F41" s="333">
        <v>11679127.2304183</v>
      </c>
    </row>
    <row r="42" spans="1:6">
      <c r="A42" s="1251" t="s">
        <v>32</v>
      </c>
      <c r="B42" s="1251" t="s">
        <v>34</v>
      </c>
      <c r="C42" s="333">
        <v>9</v>
      </c>
      <c r="D42" s="333">
        <v>83071853.667132303</v>
      </c>
      <c r="E42" s="333">
        <v>9</v>
      </c>
      <c r="F42" s="333">
        <v>47994509.969906501</v>
      </c>
    </row>
    <row r="43" spans="1:6">
      <c r="A43" s="1251" t="s">
        <v>32</v>
      </c>
      <c r="B43" s="1251" t="s">
        <v>35</v>
      </c>
      <c r="C43" s="333">
        <v>0</v>
      </c>
      <c r="D43" s="333">
        <v>0</v>
      </c>
      <c r="E43" s="333">
        <v>0</v>
      </c>
      <c r="F43" s="333">
        <v>0</v>
      </c>
    </row>
    <row r="44" spans="1:6">
      <c r="A44" s="1251" t="s">
        <v>32</v>
      </c>
      <c r="B44" s="1251" t="s">
        <v>36</v>
      </c>
      <c r="C44" s="333">
        <v>3</v>
      </c>
      <c r="D44" s="333">
        <v>241869.955382418</v>
      </c>
      <c r="E44" s="333">
        <v>12</v>
      </c>
      <c r="F44" s="333">
        <v>240206.17010730199</v>
      </c>
    </row>
    <row r="45" spans="1:6">
      <c r="A45" s="1251" t="s">
        <v>32</v>
      </c>
      <c r="B45" s="1251" t="s">
        <v>37</v>
      </c>
      <c r="C45" s="333">
        <v>3</v>
      </c>
      <c r="D45" s="333">
        <v>109437.70152437</v>
      </c>
      <c r="E45" s="333">
        <v>3</v>
      </c>
      <c r="F45" s="333">
        <v>34759.2349790886</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32</v>
      </c>
      <c r="D48" s="333">
        <v>22711118.6377417</v>
      </c>
      <c r="E48" s="333">
        <v>49</v>
      </c>
      <c r="F48" s="333">
        <v>44331929.944559</v>
      </c>
    </row>
    <row r="49" spans="1:6">
      <c r="A49" s="1251" t="s">
        <v>32</v>
      </c>
      <c r="B49" s="1251" t="s">
        <v>40</v>
      </c>
      <c r="C49" s="333">
        <v>0</v>
      </c>
      <c r="D49" s="333">
        <v>0</v>
      </c>
      <c r="E49" s="333">
        <v>0</v>
      </c>
      <c r="F49" s="333">
        <v>0</v>
      </c>
    </row>
    <row r="50" spans="1:6">
      <c r="A50" s="1251" t="s">
        <v>32</v>
      </c>
      <c r="B50" s="1251" t="s">
        <v>41</v>
      </c>
      <c r="C50" s="333">
        <v>14</v>
      </c>
      <c r="D50" s="333">
        <v>25261497.617842201</v>
      </c>
      <c r="E50" s="333">
        <v>15</v>
      </c>
      <c r="F50" s="333">
        <v>14491508.8690183</v>
      </c>
    </row>
    <row r="51" spans="1:6">
      <c r="A51" s="1251" t="s">
        <v>42</v>
      </c>
      <c r="B51" s="1251" t="s">
        <v>43</v>
      </c>
      <c r="C51" s="333">
        <v>5</v>
      </c>
      <c r="D51" s="333">
        <v>122513.95687825599</v>
      </c>
      <c r="E51" s="333">
        <v>45</v>
      </c>
      <c r="F51" s="333">
        <v>770605.74956368399</v>
      </c>
    </row>
    <row r="52" spans="1:6">
      <c r="A52" s="1251" t="s">
        <v>42</v>
      </c>
      <c r="B52" s="1251" t="s">
        <v>29</v>
      </c>
      <c r="C52" s="333">
        <v>1</v>
      </c>
      <c r="D52" s="333">
        <v>362826.63561328402</v>
      </c>
      <c r="E52" s="333">
        <v>13</v>
      </c>
      <c r="F52" s="333">
        <v>259365.15423417301</v>
      </c>
    </row>
    <row r="53" spans="1:6">
      <c r="A53" s="1251" t="s">
        <v>44</v>
      </c>
      <c r="B53" s="1251" t="s">
        <v>45</v>
      </c>
      <c r="C53" s="333">
        <v>181</v>
      </c>
      <c r="D53" s="333">
        <v>3726625.7645618501</v>
      </c>
      <c r="E53" s="333">
        <v>289</v>
      </c>
      <c r="F53" s="333">
        <v>1413695.4133214899</v>
      </c>
    </row>
    <row r="54" spans="1:6">
      <c r="A54" s="1251" t="s">
        <v>46</v>
      </c>
      <c r="B54" s="1251" t="s">
        <v>47</v>
      </c>
      <c r="C54" s="333">
        <v>0</v>
      </c>
      <c r="D54" s="333">
        <v>0</v>
      </c>
      <c r="E54" s="333">
        <v>1</v>
      </c>
      <c r="F54" s="333">
        <v>1481236</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25</v>
      </c>
      <c r="D57" s="333">
        <v>534106.56957191497</v>
      </c>
      <c r="E57" s="333">
        <v>48</v>
      </c>
      <c r="F57" s="333">
        <v>2784447.6574950102</v>
      </c>
    </row>
    <row r="58" spans="1:6">
      <c r="A58" s="1251" t="s">
        <v>49</v>
      </c>
      <c r="B58" s="1251" t="s">
        <v>51</v>
      </c>
      <c r="C58" s="333">
        <v>12</v>
      </c>
      <c r="D58" s="333">
        <v>1862402.98015999</v>
      </c>
      <c r="E58" s="333">
        <v>27</v>
      </c>
      <c r="F58" s="333">
        <v>1347461.4107878699</v>
      </c>
    </row>
    <row r="59" spans="1:6">
      <c r="A59" s="1251" t="s">
        <v>49</v>
      </c>
      <c r="B59" s="1251" t="s">
        <v>52</v>
      </c>
      <c r="C59" s="333">
        <v>77</v>
      </c>
      <c r="D59" s="333">
        <v>4745059.1622101599</v>
      </c>
      <c r="E59" s="333">
        <v>163</v>
      </c>
      <c r="F59" s="333">
        <v>10034978.8373817</v>
      </c>
    </row>
    <row r="60" spans="1:6">
      <c r="A60" s="1251" t="s">
        <v>49</v>
      </c>
      <c r="B60" s="1251" t="s">
        <v>53</v>
      </c>
      <c r="C60" s="333">
        <v>40</v>
      </c>
      <c r="D60" s="333">
        <v>1983373.6215365799</v>
      </c>
      <c r="E60" s="333">
        <v>109</v>
      </c>
      <c r="F60" s="333">
        <v>2307579.6644635801</v>
      </c>
    </row>
    <row r="61" spans="1:6">
      <c r="A61" s="1251" t="s">
        <v>49</v>
      </c>
      <c r="B61" s="1251" t="s">
        <v>54</v>
      </c>
      <c r="C61" s="333">
        <v>134</v>
      </c>
      <c r="D61" s="333">
        <v>11944769.623532901</v>
      </c>
      <c r="E61" s="333">
        <v>215</v>
      </c>
      <c r="F61" s="333">
        <v>10566045.976173</v>
      </c>
    </row>
    <row r="62" spans="1:6">
      <c r="A62" s="1251" t="s">
        <v>49</v>
      </c>
      <c r="B62" s="1251" t="s">
        <v>55</v>
      </c>
      <c r="C62" s="333">
        <v>17</v>
      </c>
      <c r="D62" s="333">
        <v>2037638.27347704</v>
      </c>
      <c r="E62" s="333">
        <v>17</v>
      </c>
      <c r="F62" s="333">
        <v>437327.25142115698</v>
      </c>
    </row>
    <row r="63" spans="1:6">
      <c r="A63" s="1251" t="s">
        <v>49</v>
      </c>
      <c r="B63" s="1251" t="s">
        <v>29</v>
      </c>
      <c r="C63" s="333">
        <v>100</v>
      </c>
      <c r="D63" s="333">
        <v>8780159.2745872997</v>
      </c>
      <c r="E63" s="333">
        <v>106</v>
      </c>
      <c r="F63" s="333">
        <v>5523340.6855236199</v>
      </c>
    </row>
    <row r="64" spans="1:6">
      <c r="A64" s="1251" t="s">
        <v>56</v>
      </c>
      <c r="B64" s="1251" t="s">
        <v>57</v>
      </c>
      <c r="C64" s="333">
        <v>0</v>
      </c>
      <c r="D64" s="333">
        <v>0</v>
      </c>
      <c r="E64" s="333">
        <v>0</v>
      </c>
      <c r="F64" s="333">
        <v>0</v>
      </c>
    </row>
    <row r="65" spans="1:6">
      <c r="A65" s="1251" t="s">
        <v>56</v>
      </c>
      <c r="B65" s="1251" t="s">
        <v>29</v>
      </c>
      <c r="C65" s="333">
        <v>0</v>
      </c>
      <c r="D65" s="333">
        <v>0</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10</v>
      </c>
      <c r="D68" s="333">
        <v>3567947.1180403298</v>
      </c>
      <c r="E68" s="333">
        <v>31</v>
      </c>
      <c r="F68" s="333">
        <v>2022984.52127484</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250388346</v>
      </c>
      <c r="E73" s="333">
        <v>262990277.49462846</v>
      </c>
      <c r="F73" s="333">
        <v>246035881</v>
      </c>
    </row>
    <row r="74" spans="1:6">
      <c r="A74" s="1251" t="s">
        <v>64</v>
      </c>
      <c r="B74" s="1251" t="s">
        <v>775</v>
      </c>
      <c r="C74" s="1262" t="s">
        <v>776</v>
      </c>
      <c r="D74" s="333">
        <v>36506869.550055914</v>
      </c>
      <c r="E74" s="333">
        <v>38390959.838018499</v>
      </c>
      <c r="F74" s="333">
        <v>37425477.59312278</v>
      </c>
    </row>
    <row r="75" spans="1:6">
      <c r="A75" s="1251" t="s">
        <v>65</v>
      </c>
      <c r="B75" s="1251" t="s">
        <v>773</v>
      </c>
      <c r="C75" s="1262" t="s">
        <v>777</v>
      </c>
      <c r="D75" s="333">
        <v>64626025</v>
      </c>
      <c r="E75" s="333">
        <v>66654712.916097566</v>
      </c>
      <c r="F75" s="333">
        <v>63144753</v>
      </c>
    </row>
    <row r="76" spans="1:6">
      <c r="A76" s="1251" t="s">
        <v>65</v>
      </c>
      <c r="B76" s="1251" t="s">
        <v>775</v>
      </c>
      <c r="C76" s="1262" t="s">
        <v>778</v>
      </c>
      <c r="D76" s="333">
        <v>8493031.5500559155</v>
      </c>
      <c r="E76" s="333">
        <v>9027822.8102678396</v>
      </c>
      <c r="F76" s="333">
        <v>8676761.5931227822</v>
      </c>
    </row>
    <row r="77" spans="1:6">
      <c r="A77" s="1251" t="s">
        <v>66</v>
      </c>
      <c r="B77" s="1251" t="s">
        <v>773</v>
      </c>
      <c r="C77" s="1262" t="s">
        <v>779</v>
      </c>
      <c r="D77" s="333">
        <v>68468844</v>
      </c>
      <c r="E77" s="333">
        <v>74617012.766985089</v>
      </c>
      <c r="F77" s="333">
        <v>69789228</v>
      </c>
    </row>
    <row r="78" spans="1:6">
      <c r="A78" s="1247" t="s">
        <v>66</v>
      </c>
      <c r="B78" s="1247" t="s">
        <v>775</v>
      </c>
      <c r="C78" s="1247" t="s">
        <v>780</v>
      </c>
      <c r="D78" s="1247">
        <v>8531359</v>
      </c>
      <c r="E78" s="1247">
        <v>9950154.5829242356</v>
      </c>
      <c r="F78" s="336">
        <v>9155216</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483112.89988817007</v>
      </c>
      <c r="C83" s="333">
        <v>445349.14576374175</v>
      </c>
      <c r="D83" s="333">
        <v>450452.81375443487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11397.893748012835</v>
      </c>
    </row>
    <row r="91" spans="1:6">
      <c r="A91" s="1251" t="s">
        <v>68</v>
      </c>
      <c r="B91" s="333">
        <v>1641.4862245193333</v>
      </c>
    </row>
    <row r="92" spans="1:6">
      <c r="A92" s="1247" t="s">
        <v>69</v>
      </c>
      <c r="B92" s="336">
        <v>2571.115591926703</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3477</v>
      </c>
    </row>
    <row r="98" spans="1:6">
      <c r="A98" s="1251" t="s">
        <v>72</v>
      </c>
      <c r="B98" s="333">
        <v>9</v>
      </c>
    </row>
    <row r="99" spans="1:6">
      <c r="A99" s="1251" t="s">
        <v>73</v>
      </c>
      <c r="B99" s="333">
        <v>46</v>
      </c>
    </row>
    <row r="100" spans="1:6">
      <c r="A100" s="1251" t="s">
        <v>74</v>
      </c>
      <c r="B100" s="333">
        <v>346</v>
      </c>
    </row>
    <row r="101" spans="1:6">
      <c r="A101" s="1251" t="s">
        <v>75</v>
      </c>
      <c r="B101" s="333">
        <v>50</v>
      </c>
    </row>
    <row r="102" spans="1:6">
      <c r="A102" s="1251" t="s">
        <v>76</v>
      </c>
      <c r="B102" s="333">
        <v>70</v>
      </c>
    </row>
    <row r="103" spans="1:6">
      <c r="A103" s="1251" t="s">
        <v>77</v>
      </c>
      <c r="B103" s="333">
        <v>102</v>
      </c>
    </row>
    <row r="104" spans="1:6">
      <c r="A104" s="1251" t="s">
        <v>78</v>
      </c>
      <c r="B104" s="333">
        <v>1915</v>
      </c>
    </row>
    <row r="105" spans="1:6">
      <c r="A105" s="1247" t="s">
        <v>79</v>
      </c>
      <c r="B105" s="1247">
        <v>3</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2</v>
      </c>
      <c r="C123" s="333">
        <v>8</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55</v>
      </c>
    </row>
    <row r="130" spans="1:6">
      <c r="A130" s="1251" t="s">
        <v>296</v>
      </c>
      <c r="B130" s="333">
        <v>1</v>
      </c>
    </row>
    <row r="131" spans="1:6">
      <c r="A131" s="1251" t="s">
        <v>297</v>
      </c>
      <c r="B131" s="333">
        <v>3</v>
      </c>
    </row>
    <row r="132" spans="1:6">
      <c r="A132" s="1247" t="s">
        <v>298</v>
      </c>
      <c r="B132" s="336">
        <v>5</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183205.43796275705</v>
      </c>
      <c r="C3" s="43" t="s">
        <v>171</v>
      </c>
      <c r="D3" s="43"/>
      <c r="E3" s="156"/>
      <c r="F3" s="43"/>
      <c r="G3" s="43"/>
      <c r="H3" s="43"/>
      <c r="I3" s="43"/>
      <c r="J3" s="43"/>
      <c r="K3" s="96"/>
    </row>
    <row r="4" spans="1:11">
      <c r="A4" s="364" t="s">
        <v>172</v>
      </c>
      <c r="B4" s="49">
        <f>IF(ISERROR('SEAP template'!B69),0,'SEAP template'!B69)</f>
        <v>24673.49556445887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2153.7952941176468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0.20299263481306484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3076.8504201680662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12947.142857142855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0.23764705882352938</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1481.2360000000001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1481.2360000000001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0.20299263481306484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300.67999841996493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27276.460191357797</v>
      </c>
      <c r="C5" s="17">
        <f>IF(ISERROR('Eigen informatie GS &amp; warmtenet'!B57),0,'Eigen informatie GS &amp; warmtenet'!B57)</f>
        <v>0</v>
      </c>
      <c r="D5" s="30">
        <f>(SUM(HH_hh_gas_kWh,HH_rest_gas_kWh)/1000)*0.902</f>
        <v>73077.108786734432</v>
      </c>
      <c r="E5" s="17">
        <f>B46*B57</f>
        <v>2494.3856836024156</v>
      </c>
      <c r="F5" s="17">
        <f>B51*B62</f>
        <v>17028.612656722853</v>
      </c>
      <c r="G5" s="18"/>
      <c r="H5" s="17"/>
      <c r="I5" s="17"/>
      <c r="J5" s="17">
        <f>B50*B61+C50*C61</f>
        <v>0</v>
      </c>
      <c r="K5" s="17"/>
      <c r="L5" s="17"/>
      <c r="M5" s="17"/>
      <c r="N5" s="17">
        <f>B48*B59+C48*C59</f>
        <v>7844.6880607922067</v>
      </c>
      <c r="O5" s="17">
        <f>B69*B70*B71</f>
        <v>98.490000000000009</v>
      </c>
      <c r="P5" s="17">
        <f>B77*B78*B79/1000-B77*B78*B79/1000/B80</f>
        <v>133.46666666666667</v>
      </c>
    </row>
    <row r="6" spans="1:16">
      <c r="A6" s="16" t="s">
        <v>633</v>
      </c>
      <c r="B6" s="830">
        <f>kWh_PV_kleiner_dan_10kW</f>
        <v>1641.4862245193333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28917.94641587713</v>
      </c>
      <c r="C8" s="21">
        <f>C5</f>
        <v>0</v>
      </c>
      <c r="D8" s="21">
        <f>D5</f>
        <v>73077.108786734432</v>
      </c>
      <c r="E8" s="21">
        <f>E5</f>
        <v>2494.3856836024156</v>
      </c>
      <c r="F8" s="21">
        <f>F5</f>
        <v>17028.612656722853</v>
      </c>
      <c r="G8" s="21"/>
      <c r="H8" s="21"/>
      <c r="I8" s="21"/>
      <c r="J8" s="21">
        <f>J5</f>
        <v>0</v>
      </c>
      <c r="K8" s="21"/>
      <c r="L8" s="21">
        <f>L5</f>
        <v>0</v>
      </c>
      <c r="M8" s="21">
        <f>M5</f>
        <v>0</v>
      </c>
      <c r="N8" s="21">
        <f>N5</f>
        <v>7844.6880607922067</v>
      </c>
      <c r="O8" s="21">
        <f>O5</f>
        <v>98.490000000000009</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0.20299263481306484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5870.1301363419234</v>
      </c>
      <c r="C12" s="23">
        <f ca="1">C10*C8</f>
        <v>0</v>
      </c>
      <c r="D12" s="23">
        <f>D8*D10</f>
        <v>14761.575974920357</v>
      </c>
      <c r="E12" s="23">
        <f>E10*E8</f>
        <v>566.22555017774835</v>
      </c>
      <c r="F12" s="23">
        <f>F10*F8</f>
        <v>4546.6395793450019</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3477</v>
      </c>
      <c r="C18" s="167" t="s">
        <v>111</v>
      </c>
      <c r="D18" s="229"/>
      <c r="E18" s="15"/>
    </row>
    <row r="19" spans="1:7">
      <c r="A19" s="172" t="s">
        <v>72</v>
      </c>
      <c r="B19" s="37">
        <f>aantalw2001_ander</f>
        <v>9</v>
      </c>
      <c r="C19" s="167" t="s">
        <v>111</v>
      </c>
      <c r="D19" s="230"/>
      <c r="E19" s="15"/>
    </row>
    <row r="20" spans="1:7">
      <c r="A20" s="172" t="s">
        <v>73</v>
      </c>
      <c r="B20" s="37">
        <f>aantalw2001_propaan</f>
        <v>46</v>
      </c>
      <c r="C20" s="168">
        <f>IF(ISERROR(B20/SUM($B$20,$B$21,$B$22)*100),0,B20/SUM($B$20,$B$21,$B$22)*100)</f>
        <v>10.407239819004525</v>
      </c>
      <c r="D20" s="230"/>
      <c r="E20" s="15"/>
    </row>
    <row r="21" spans="1:7">
      <c r="A21" s="172" t="s">
        <v>74</v>
      </c>
      <c r="B21" s="37">
        <f>aantalw2001_elektriciteit</f>
        <v>346</v>
      </c>
      <c r="C21" s="168">
        <f>IF(ISERROR(B21/SUM($B$20,$B$21,$B$22)*100),0,B21/SUM($B$20,$B$21,$B$22)*100)</f>
        <v>78.280542986425345</v>
      </c>
      <c r="D21" s="230"/>
      <c r="E21" s="15"/>
    </row>
    <row r="22" spans="1:7">
      <c r="A22" s="172" t="s">
        <v>75</v>
      </c>
      <c r="B22" s="37">
        <f>aantalw2001_hout</f>
        <v>50</v>
      </c>
      <c r="C22" s="168">
        <f>IF(ISERROR(B22/SUM($B$20,$B$21,$B$22)*100),0,B22/SUM($B$20,$B$21,$B$22)*100)</f>
        <v>11.312217194570136</v>
      </c>
      <c r="D22" s="230"/>
      <c r="E22" s="15"/>
    </row>
    <row r="23" spans="1:7">
      <c r="A23" s="172" t="s">
        <v>76</v>
      </c>
      <c r="B23" s="37">
        <f>aantalw2001_niet_gespec</f>
        <v>70</v>
      </c>
      <c r="C23" s="167" t="s">
        <v>111</v>
      </c>
      <c r="D23" s="229"/>
      <c r="E23" s="15"/>
    </row>
    <row r="24" spans="1:7">
      <c r="A24" s="172" t="s">
        <v>77</v>
      </c>
      <c r="B24" s="37">
        <f>aantalw2001_steenkool</f>
        <v>102</v>
      </c>
      <c r="C24" s="167" t="s">
        <v>111</v>
      </c>
      <c r="D24" s="230"/>
      <c r="E24" s="15"/>
    </row>
    <row r="25" spans="1:7">
      <c r="A25" s="172" t="s">
        <v>78</v>
      </c>
      <c r="B25" s="37">
        <f>aantalw2001_stookolie</f>
        <v>1915</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6694</v>
      </c>
      <c r="C28" s="36"/>
      <c r="D28" s="229"/>
    </row>
    <row r="29" spans="1:7" s="15" customFormat="1">
      <c r="A29" s="231" t="s">
        <v>714</v>
      </c>
      <c r="B29" s="37">
        <f>SUM(HH_hh_gas_aantal,HH_rest_gas_aantal)</f>
        <v>4775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4775</v>
      </c>
      <c r="C32" s="168">
        <f>IF(ISERROR(B32/SUM($B$32,$B$34,$B$35,$B$36,$B$38,$B$39)*100),0,B32/SUM($B$32,$B$34,$B$35,$B$36,$B$38,$B$39)*100)</f>
        <v>71.40720801555257</v>
      </c>
      <c r="D32" s="234"/>
      <c r="G32" s="15"/>
    </row>
    <row r="33" spans="1:7">
      <c r="A33" s="172" t="s">
        <v>72</v>
      </c>
      <c r="B33" s="34" t="s">
        <v>111</v>
      </c>
      <c r="C33" s="168"/>
      <c r="D33" s="234"/>
      <c r="G33" s="15"/>
    </row>
    <row r="34" spans="1:7">
      <c r="A34" s="172" t="s">
        <v>73</v>
      </c>
      <c r="B34" s="33">
        <f>IF((($B$28-$B$32-$B$39-$B$77-$B$38)*C20/100)&lt;0,0,($B$28-$B$32-$B$39-$B$77-$B$38)*C20/100)</f>
        <v>121.26515837104073</v>
      </c>
      <c r="C34" s="168">
        <f>IF(ISERROR(B34/SUM($B$32,$B$34,$B$35,$B$36,$B$38,$B$39)*100),0,B34/SUM($B$32,$B$34,$B$35,$B$36,$B$38,$B$39)*100)</f>
        <v>1.8134463641549383</v>
      </c>
      <c r="D34" s="234"/>
      <c r="G34" s="15"/>
    </row>
    <row r="35" spans="1:7">
      <c r="A35" s="172" t="s">
        <v>74</v>
      </c>
      <c r="B35" s="33">
        <f>IF((($B$28-$B$32-$B$39-$B$77-$B$38)*C21/100)&lt;0,0,($B$28-$B$32-$B$39-$B$77-$B$38)*C21/100)</f>
        <v>912.12488687782809</v>
      </c>
      <c r="C35" s="168">
        <f>IF(ISERROR(B35/SUM($B$32,$B$34,$B$35,$B$36,$B$38,$B$39)*100),0,B35/SUM($B$32,$B$34,$B$35,$B$36,$B$38,$B$39)*100)</f>
        <v>13.640270478208885</v>
      </c>
      <c r="D35" s="234"/>
      <c r="G35" s="15"/>
    </row>
    <row r="36" spans="1:7">
      <c r="A36" s="172" t="s">
        <v>75</v>
      </c>
      <c r="B36" s="33">
        <f>IF((($B$28-$B$32-$B$39-$B$77-$B$38)*C22/100)&lt;0,0,($B$28-$B$32-$B$39-$B$77-$B$38)*C22/100)</f>
        <v>131.80995475113122</v>
      </c>
      <c r="C36" s="168">
        <f>IF(ISERROR(B36/SUM($B$32,$B$34,$B$35,$B$36,$B$38,$B$39)*100),0,B36/SUM($B$32,$B$34,$B$35,$B$36,$B$38,$B$39)*100)</f>
        <v>1.9711373523423243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746.8</v>
      </c>
      <c r="C39" s="168">
        <f>IF(ISERROR(B39/SUM($B$32,$B$34,$B$35,$B$36,$B$38,$B$39)*100),0,B39/SUM($B$32,$B$34,$B$35,$B$36,$B$38,$B$39)*100)</f>
        <v>11.167937789741289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4775</v>
      </c>
      <c r="C44" s="34" t="s">
        <v>111</v>
      </c>
      <c r="D44" s="175"/>
    </row>
    <row r="45" spans="1:7">
      <c r="A45" s="172" t="s">
        <v>72</v>
      </c>
      <c r="B45" s="33" t="str">
        <f t="shared" si="0"/>
        <v>-</v>
      </c>
      <c r="C45" s="34" t="s">
        <v>111</v>
      </c>
      <c r="D45" s="175"/>
    </row>
    <row r="46" spans="1:7">
      <c r="A46" s="172" t="s">
        <v>73</v>
      </c>
      <c r="B46" s="33">
        <f t="shared" si="0"/>
        <v>121.26515837104073</v>
      </c>
      <c r="C46" s="34" t="s">
        <v>111</v>
      </c>
      <c r="D46" s="175"/>
    </row>
    <row r="47" spans="1:7">
      <c r="A47" s="172" t="s">
        <v>74</v>
      </c>
      <c r="B47" s="33">
        <f t="shared" si="0"/>
        <v>912.12488687782809</v>
      </c>
      <c r="C47" s="34" t="s">
        <v>111</v>
      </c>
      <c r="D47" s="175"/>
    </row>
    <row r="48" spans="1:7">
      <c r="A48" s="172" t="s">
        <v>75</v>
      </c>
      <c r="B48" s="33">
        <f t="shared" si="0"/>
        <v>131.80995475113122</v>
      </c>
      <c r="C48" s="33">
        <f>B48*10</f>
        <v>1318.0995475113123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746.8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33001.181483245935</v>
      </c>
      <c r="C5" s="17">
        <f>IF(ISERROR('Eigen informatie GS &amp; warmtenet'!B58),0,'Eigen informatie GS &amp; warmtenet'!B58)</f>
        <v>0</v>
      </c>
      <c r="D5" s="30">
        <f>SUM(D6:D12)</f>
        <v>28762.53357357845</v>
      </c>
      <c r="E5" s="17">
        <f>SUM(E6:E12)</f>
        <v>687.87513662851245</v>
      </c>
      <c r="F5" s="17">
        <f>SUM(F6:F12)</f>
        <v>6027.6540320645618</v>
      </c>
      <c r="G5" s="18"/>
      <c r="H5" s="17"/>
      <c r="I5" s="17"/>
      <c r="J5" s="17">
        <f>SUM(J6:J12)</f>
        <v>0</v>
      </c>
      <c r="K5" s="17"/>
      <c r="L5" s="17"/>
      <c r="M5" s="17"/>
      <c r="N5" s="17">
        <f>SUM(N6:N12)</f>
        <v>897.71202789470908</v>
      </c>
      <c r="O5" s="17">
        <f>B38*B39*B40</f>
        <v>1.5633333333333335</v>
      </c>
      <c r="P5" s="17">
        <f>B46*B47*B48/1000-B46*B47*B48/1000/B49</f>
        <v>57.2</v>
      </c>
      <c r="R5" s="32"/>
    </row>
    <row r="6" spans="1:18">
      <c r="A6" s="32" t="s">
        <v>54</v>
      </c>
      <c r="B6" s="37">
        <f>B26</f>
        <v>10566.045976173</v>
      </c>
      <c r="C6" s="33"/>
      <c r="D6" s="37">
        <f>IF(ISERROR(TER_kantoor_gas_kWh/1000),0,TER_kantoor_gas_kWh/1000)*0.902</f>
        <v>10774.182200426676</v>
      </c>
      <c r="E6" s="33">
        <f>$C$26*'E Balans VL '!I12/100/3.6*1000000</f>
        <v>369.85317331386165</v>
      </c>
      <c r="F6" s="33">
        <f>$C$26*('E Balans VL '!L12+'E Balans VL '!N12)/100/3.6*1000000</f>
        <v>1602.0394207720017</v>
      </c>
      <c r="G6" s="34"/>
      <c r="H6" s="33"/>
      <c r="I6" s="33"/>
      <c r="J6" s="33">
        <f>$C$26*('E Balans VL '!D12+'E Balans VL '!E12)/100/3.6*1000000</f>
        <v>0</v>
      </c>
      <c r="K6" s="33"/>
      <c r="L6" s="33"/>
      <c r="M6" s="33"/>
      <c r="N6" s="33">
        <f>$C$26*'E Balans VL '!Y12/100/3.6*1000000</f>
        <v>81.672228314441725</v>
      </c>
      <c r="O6" s="33"/>
      <c r="P6" s="33"/>
      <c r="R6" s="32"/>
    </row>
    <row r="7" spans="1:18">
      <c r="A7" s="32" t="s">
        <v>53</v>
      </c>
      <c r="B7" s="37">
        <f t="shared" ref="B7:B12" si="0">B27</f>
        <v>2307.5796644635802</v>
      </c>
      <c r="C7" s="33"/>
      <c r="D7" s="37">
        <f>IF(ISERROR(TER_horeca_gas_kWh/1000),0,TER_horeca_gas_kWh/1000)*0.902</f>
        <v>1789.0030066259951</v>
      </c>
      <c r="E7" s="33">
        <f>$C$27*'E Balans VL '!I9/100/3.6*1000000</f>
        <v>130.17817641262459</v>
      </c>
      <c r="F7" s="33">
        <f>$C$27*('E Balans VL '!L9+'E Balans VL '!N9)/100/3.6*1000000</f>
        <v>401.99314785938191</v>
      </c>
      <c r="G7" s="34"/>
      <c r="H7" s="33"/>
      <c r="I7" s="33"/>
      <c r="J7" s="33">
        <f>$C$27*('E Balans VL '!D9+'E Balans VL '!E9)/100/3.6*1000000</f>
        <v>0</v>
      </c>
      <c r="K7" s="33"/>
      <c r="L7" s="33"/>
      <c r="M7" s="33"/>
      <c r="N7" s="33">
        <f>$C$27*'E Balans VL '!Y9/100/3.6*1000000</f>
        <v>0</v>
      </c>
      <c r="O7" s="33"/>
      <c r="P7" s="33"/>
      <c r="R7" s="32"/>
    </row>
    <row r="8" spans="1:18">
      <c r="A8" s="6" t="s">
        <v>52</v>
      </c>
      <c r="B8" s="37">
        <f t="shared" si="0"/>
        <v>10034.978837381701</v>
      </c>
      <c r="C8" s="33"/>
      <c r="D8" s="37">
        <f>IF(ISERROR(TER_handel_gas_kWh/1000),0,TER_handel_gas_kWh/1000)*0.902</f>
        <v>4280.0433643135648</v>
      </c>
      <c r="E8" s="33">
        <f>$C$28*'E Balans VL '!I13/100/3.6*1000000</f>
        <v>51.518561812054536</v>
      </c>
      <c r="F8" s="33">
        <f>$C$28*('E Balans VL '!L13+'E Balans VL '!N13)/100/3.6*1000000</f>
        <v>1547.2386803839929</v>
      </c>
      <c r="G8" s="34"/>
      <c r="H8" s="33"/>
      <c r="I8" s="33"/>
      <c r="J8" s="33">
        <f>$C$28*('E Balans VL '!D13+'E Balans VL '!E13)/100/3.6*1000000</f>
        <v>0</v>
      </c>
      <c r="K8" s="33"/>
      <c r="L8" s="33"/>
      <c r="M8" s="33"/>
      <c r="N8" s="33">
        <f>$C$28*'E Balans VL '!Y13/100/3.6*1000000</f>
        <v>4.6934820956482035</v>
      </c>
      <c r="O8" s="33"/>
      <c r="P8" s="33"/>
      <c r="R8" s="32"/>
    </row>
    <row r="9" spans="1:18">
      <c r="A9" s="32" t="s">
        <v>51</v>
      </c>
      <c r="B9" s="37">
        <f t="shared" si="0"/>
        <v>1347.4614107878699</v>
      </c>
      <c r="C9" s="33"/>
      <c r="D9" s="37">
        <f>IF(ISERROR(TER_gezond_gas_kWh/1000),0,TER_gezond_gas_kWh/1000)*0.902</f>
        <v>1679.8874881043109</v>
      </c>
      <c r="E9" s="33">
        <f>$C$29*'E Balans VL '!I10/100/3.6*1000000</f>
        <v>0.5585131584953329</v>
      </c>
      <c r="F9" s="33">
        <f>$C$29*('E Balans VL '!L10+'E Balans VL '!N10)/100/3.6*1000000</f>
        <v>331.86042030258784</v>
      </c>
      <c r="G9" s="34"/>
      <c r="H9" s="33"/>
      <c r="I9" s="33"/>
      <c r="J9" s="33">
        <f>$C$29*('E Balans VL '!D10+'E Balans VL '!E10)/100/3.6*1000000</f>
        <v>0</v>
      </c>
      <c r="K9" s="33"/>
      <c r="L9" s="33"/>
      <c r="M9" s="33"/>
      <c r="N9" s="33">
        <f>$C$29*'E Balans VL '!Y10/100/3.6*1000000</f>
        <v>11.645401724790363</v>
      </c>
      <c r="O9" s="33"/>
      <c r="P9" s="33"/>
      <c r="R9" s="32"/>
    </row>
    <row r="10" spans="1:18">
      <c r="A10" s="32" t="s">
        <v>50</v>
      </c>
      <c r="B10" s="37">
        <f t="shared" si="0"/>
        <v>2784.4476574950104</v>
      </c>
      <c r="C10" s="33"/>
      <c r="D10" s="37">
        <f>IF(ISERROR(TER_ander_gas_kWh/1000),0,TER_ander_gas_kWh/1000)*0.902</f>
        <v>481.76412575386735</v>
      </c>
      <c r="E10" s="33">
        <f>$C$30*'E Balans VL '!I14/100/3.6*1000000</f>
        <v>16.974061619924203</v>
      </c>
      <c r="F10" s="33">
        <f>$C$30*('E Balans VL '!L14+'E Balans VL '!N14)/100/3.6*1000000</f>
        <v>738.19521660813109</v>
      </c>
      <c r="G10" s="34"/>
      <c r="H10" s="33"/>
      <c r="I10" s="33"/>
      <c r="J10" s="33">
        <f>$C$30*('E Balans VL '!D14+'E Balans VL '!E14)/100/3.6*1000000</f>
        <v>0</v>
      </c>
      <c r="K10" s="33"/>
      <c r="L10" s="33"/>
      <c r="M10" s="33"/>
      <c r="N10" s="33">
        <f>$C$30*'E Balans VL '!Y14/100/3.6*1000000</f>
        <v>641.75501756730216</v>
      </c>
      <c r="O10" s="33"/>
      <c r="P10" s="33"/>
      <c r="R10" s="32"/>
    </row>
    <row r="11" spans="1:18">
      <c r="A11" s="32" t="s">
        <v>55</v>
      </c>
      <c r="B11" s="37">
        <f t="shared" si="0"/>
        <v>437.32725142115697</v>
      </c>
      <c r="C11" s="33"/>
      <c r="D11" s="37">
        <f>IF(ISERROR(TER_onderwijs_gas_kWh/1000),0,TER_onderwijs_gas_kWh/1000)*0.902</f>
        <v>1837.9497226762901</v>
      </c>
      <c r="E11" s="33">
        <f>$C$31*'E Balans VL '!I11/100/3.6*1000000</f>
        <v>0.33326613745347283</v>
      </c>
      <c r="F11" s="33">
        <f>$C$31*('E Balans VL '!L11+'E Balans VL '!N11)/100/3.6*1000000</f>
        <v>316.4739656589224</v>
      </c>
      <c r="G11" s="34"/>
      <c r="H11" s="33"/>
      <c r="I11" s="33"/>
      <c r="J11" s="33">
        <f>$C$31*('E Balans VL '!D11+'E Balans VL '!E11)/100/3.6*1000000</f>
        <v>0</v>
      </c>
      <c r="K11" s="33"/>
      <c r="L11" s="33"/>
      <c r="M11" s="33"/>
      <c r="N11" s="33">
        <f>$C$31*'E Balans VL '!Y11/100/3.6*1000000</f>
        <v>1.2889079292466921</v>
      </c>
      <c r="O11" s="33"/>
      <c r="P11" s="33"/>
      <c r="R11" s="32"/>
    </row>
    <row r="12" spans="1:18">
      <c r="A12" s="32" t="s">
        <v>261</v>
      </c>
      <c r="B12" s="37">
        <f t="shared" si="0"/>
        <v>5523.3406855236199</v>
      </c>
      <c r="C12" s="33"/>
      <c r="D12" s="37">
        <f>IF(ISERROR(TER_rest_gas_kWh/1000),0,TER_rest_gas_kWh/1000)*0.902</f>
        <v>7919.7036656777454</v>
      </c>
      <c r="E12" s="33">
        <f>$C$32*'E Balans VL '!I8/100/3.6*1000000</f>
        <v>118.45938417409863</v>
      </c>
      <c r="F12" s="33">
        <f>$C$32*('E Balans VL '!L8+'E Balans VL '!N8)/100/3.6*1000000</f>
        <v>1089.8531804795443</v>
      </c>
      <c r="G12" s="34"/>
      <c r="H12" s="33"/>
      <c r="I12" s="33"/>
      <c r="J12" s="33">
        <f>$C$32*('E Balans VL '!D8+'E Balans VL '!E8)/100/3.6*1000000</f>
        <v>0</v>
      </c>
      <c r="K12" s="33"/>
      <c r="L12" s="33"/>
      <c r="M12" s="33"/>
      <c r="N12" s="33">
        <f>$C$32*'E Balans VL '!Y8/100/3.6*1000000</f>
        <v>156.65699026328002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33001.181483245935</v>
      </c>
      <c r="C16" s="21">
        <f ca="1">C5+C13+C14</f>
        <v>0</v>
      </c>
      <c r="D16" s="21">
        <f t="shared" ref="D16:N16" ca="1" si="1">MAX((D5+D13+D14),0)</f>
        <v>28762.53357357845</v>
      </c>
      <c r="E16" s="21">
        <f t="shared" si="1"/>
        <v>687.87513662851245</v>
      </c>
      <c r="F16" s="21">
        <f t="shared" ca="1" si="1"/>
        <v>6027.6540320645618</v>
      </c>
      <c r="G16" s="21">
        <f t="shared" si="1"/>
        <v>0</v>
      </c>
      <c r="H16" s="21">
        <f t="shared" si="1"/>
        <v>0</v>
      </c>
      <c r="I16" s="21">
        <f t="shared" si="1"/>
        <v>0</v>
      </c>
      <c r="J16" s="21">
        <f t="shared" si="1"/>
        <v>0</v>
      </c>
      <c r="K16" s="21">
        <f t="shared" si="1"/>
        <v>0</v>
      </c>
      <c r="L16" s="21">
        <f t="shared" ca="1" si="1"/>
        <v>0</v>
      </c>
      <c r="M16" s="21">
        <f t="shared" si="1"/>
        <v>0</v>
      </c>
      <c r="N16" s="21">
        <f t="shared" ca="1" si="1"/>
        <v>897.71202789470908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0.20299263481306484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6698.9967812282193</v>
      </c>
      <c r="C20" s="23">
        <f t="shared" ref="C20:P20" ca="1" si="2">C16*C18</f>
        <v>0</v>
      </c>
      <c r="D20" s="23">
        <f t="shared" ca="1" si="2"/>
        <v>5810.0317818628473</v>
      </c>
      <c r="E20" s="23">
        <f t="shared" si="2"/>
        <v>156.14765601467232</v>
      </c>
      <c r="F20" s="23">
        <f t="shared" ca="1" si="2"/>
        <v>1609.3836265612381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10566.045976173</v>
      </c>
      <c r="C26" s="39">
        <f>IF(ISERROR(B26*3.6/1000000/'E Balans VL '!Z12*100),0,B26*3.6/1000000/'E Balans VL '!Z12*100)</f>
        <v>0.22234491510026785</v>
      </c>
      <c r="D26" s="238" t="s">
        <v>720</v>
      </c>
      <c r="F26" s="6"/>
    </row>
    <row r="27" spans="1:18">
      <c r="A27" s="232" t="s">
        <v>53</v>
      </c>
      <c r="B27" s="33">
        <f>IF(ISERROR(TER_horeca_ele_kWh/1000),0,TER_horeca_ele_kWh/1000)</f>
        <v>2307.5796644635802</v>
      </c>
      <c r="C27" s="39">
        <f>IF(ISERROR(B27*3.6/1000000/'E Balans VL '!Z9*100),0,B27*3.6/1000000/'E Balans VL '!Z9*100)</f>
        <v>0.19537628595132236</v>
      </c>
      <c r="D27" s="238" t="s">
        <v>720</v>
      </c>
      <c r="F27" s="6"/>
    </row>
    <row r="28" spans="1:18">
      <c r="A28" s="172" t="s">
        <v>52</v>
      </c>
      <c r="B28" s="33">
        <f>IF(ISERROR(TER_handel_ele_kWh/1000),0,TER_handel_ele_kWh/1000)</f>
        <v>10034.978837381701</v>
      </c>
      <c r="C28" s="39">
        <f>IF(ISERROR(B28*3.6/1000000/'E Balans VL '!Z13*100),0,B28*3.6/1000000/'E Balans VL '!Z13*100)</f>
        <v>0.27781700148561511</v>
      </c>
      <c r="D28" s="238" t="s">
        <v>720</v>
      </c>
      <c r="F28" s="6"/>
    </row>
    <row r="29" spans="1:18">
      <c r="A29" s="232" t="s">
        <v>51</v>
      </c>
      <c r="B29" s="33">
        <f>IF(ISERROR(TER_gezond_ele_kWh/1000),0,TER_gezond_ele_kWh/1000)</f>
        <v>1347.4614107878699</v>
      </c>
      <c r="C29" s="39">
        <f>IF(ISERROR(B29*3.6/1000000/'E Balans VL '!Z10*100),0,B29*3.6/1000000/'E Balans VL '!Z10*100)</f>
        <v>0.1751550450510263</v>
      </c>
      <c r="D29" s="238" t="s">
        <v>720</v>
      </c>
      <c r="F29" s="6"/>
    </row>
    <row r="30" spans="1:18">
      <c r="A30" s="232" t="s">
        <v>50</v>
      </c>
      <c r="B30" s="33">
        <f>IF(ISERROR(TER_ander_ele_kWh/1000),0,TER_ander_ele_kWh/1000)</f>
        <v>2784.4476574950104</v>
      </c>
      <c r="C30" s="39">
        <f>IF(ISERROR(B30*3.6/1000000/'E Balans VL '!Z14*100),0,B30*3.6/1000000/'E Balans VL '!Z14*100)</f>
        <v>0.21582022879155283</v>
      </c>
      <c r="D30" s="238" t="s">
        <v>720</v>
      </c>
      <c r="F30" s="6"/>
    </row>
    <row r="31" spans="1:18">
      <c r="A31" s="232" t="s">
        <v>55</v>
      </c>
      <c r="B31" s="33">
        <f>IF(ISERROR(TER_onderwijs_ele_kWh/1000),0,TER_onderwijs_ele_kWh/1000)</f>
        <v>437.32725142115697</v>
      </c>
      <c r="C31" s="39">
        <f>IF(ISERROR(B31*3.6/1000000/'E Balans VL '!Z11*100),0,B31*3.6/1000000/'E Balans VL '!Z11*100)</f>
        <v>8.3668155095533409E-2</v>
      </c>
      <c r="D31" s="238" t="s">
        <v>720</v>
      </c>
    </row>
    <row r="32" spans="1:18">
      <c r="A32" s="232" t="s">
        <v>261</v>
      </c>
      <c r="B32" s="33">
        <f>IF(ISERROR(TER_rest_ele_kWh/1000),0,TER_rest_ele_kWh/1000)</f>
        <v>5523.3406855236199</v>
      </c>
      <c r="C32" s="39">
        <f>IF(ISERROR(B32*3.6/1000000/'E Balans VL '!Z8*100),0,B32*3.6/1000000/'E Balans VL '!Z8*100)</f>
        <v>4.5544185411415757E-2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118772.04141898849</v>
      </c>
      <c r="C5" s="17">
        <f>IF(ISERROR('Eigen informatie GS &amp; warmtenet'!B59),0,'Eigen informatie GS &amp; warmtenet'!B59)</f>
        <v>0</v>
      </c>
      <c r="D5" s="30">
        <f>SUM(D6:D15)</f>
        <v>125377.68000976645</v>
      </c>
      <c r="E5" s="17">
        <f>SUM(E6:E15)</f>
        <v>893.74940114903063</v>
      </c>
      <c r="F5" s="17">
        <f>SUM(F6:F15)</f>
        <v>20514.411643011001</v>
      </c>
      <c r="G5" s="18"/>
      <c r="H5" s="17"/>
      <c r="I5" s="17"/>
      <c r="J5" s="17">
        <f>SUM(J6:J15)</f>
        <v>364.3948117110437</v>
      </c>
      <c r="K5" s="17"/>
      <c r="L5" s="17"/>
      <c r="M5" s="17"/>
      <c r="N5" s="17">
        <f>SUM(N6:N15)</f>
        <v>2100.7107511948525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240.206170107302</v>
      </c>
      <c r="C8" s="33"/>
      <c r="D8" s="37">
        <f>IF( ISERROR(IND_metaal_Gas_kWH/1000),0,IND_metaal_Gas_kWH/1000)*0.902</f>
        <v>218.16669975494105</v>
      </c>
      <c r="E8" s="33">
        <f>C30*'E Balans VL '!I18/100/3.6*1000000</f>
        <v>1.6878757582566293</v>
      </c>
      <c r="F8" s="33">
        <f>C30*'E Balans VL '!L18/100/3.6*1000000+C30*'E Balans VL '!N18/100/3.6*1000000</f>
        <v>26.373232133360631</v>
      </c>
      <c r="G8" s="34"/>
      <c r="H8" s="33"/>
      <c r="I8" s="33"/>
      <c r="J8" s="40">
        <f>C30*'E Balans VL '!D18/100/3.6*1000000+C30*'E Balans VL '!E18/100/3.6*1000000</f>
        <v>4.9559710277163704</v>
      </c>
      <c r="K8" s="33"/>
      <c r="L8" s="33"/>
      <c r="M8" s="33"/>
      <c r="N8" s="33">
        <f>C30*'E Balans VL '!Y18/100/3.6*1000000</f>
        <v>0.900310025191983</v>
      </c>
      <c r="O8" s="33"/>
      <c r="P8" s="33"/>
      <c r="R8" s="32"/>
    </row>
    <row r="9" spans="1:18">
      <c r="A9" s="6" t="s">
        <v>33</v>
      </c>
      <c r="B9" s="37">
        <f t="shared" si="0"/>
        <v>11679.1272304183</v>
      </c>
      <c r="C9" s="33"/>
      <c r="D9" s="37">
        <f>IF( ISERROR(IND_andere_gas_kWh/1000),0,IND_andere_gas_kWh/1000)*0.902</f>
        <v>6858.6886329465187</v>
      </c>
      <c r="E9" s="33">
        <f>C31*'E Balans VL '!I19/100/3.6*1000000</f>
        <v>196.16524922254209</v>
      </c>
      <c r="F9" s="33">
        <f>C31*'E Balans VL '!L19/100/3.6*1000000+C31*'E Balans VL '!N19/100/3.6*1000000</f>
        <v>9130.0764753223648</v>
      </c>
      <c r="G9" s="34"/>
      <c r="H9" s="33"/>
      <c r="I9" s="33"/>
      <c r="J9" s="40">
        <f>C31*'E Balans VL '!D19/100/3.6*1000000+C31*'E Balans VL '!E19/100/3.6*1000000</f>
        <v>1.0533541800322115</v>
      </c>
      <c r="K9" s="33"/>
      <c r="L9" s="33"/>
      <c r="M9" s="33"/>
      <c r="N9" s="33">
        <f>C31*'E Balans VL '!Y19/100/3.6*1000000</f>
        <v>865.61070287441635</v>
      </c>
      <c r="O9" s="33"/>
      <c r="P9" s="33"/>
      <c r="R9" s="32"/>
    </row>
    <row r="10" spans="1:18">
      <c r="A10" s="6" t="s">
        <v>41</v>
      </c>
      <c r="B10" s="37">
        <f t="shared" si="0"/>
        <v>14491.5088690183</v>
      </c>
      <c r="C10" s="33"/>
      <c r="D10" s="37">
        <f>IF( ISERROR(IND_voed_gas_kWh/1000),0,IND_voed_gas_kWh/1000)*0.902</f>
        <v>22785.870851293665</v>
      </c>
      <c r="E10" s="33">
        <f>C32*'E Balans VL '!I20/100/3.6*1000000</f>
        <v>132.21450497470195</v>
      </c>
      <c r="F10" s="33">
        <f>C32*'E Balans VL '!L20/100/3.6*1000000+C32*'E Balans VL '!N20/100/3.6*1000000</f>
        <v>2337.9336484439154</v>
      </c>
      <c r="G10" s="34"/>
      <c r="H10" s="33"/>
      <c r="I10" s="33"/>
      <c r="J10" s="40">
        <f>C32*'E Balans VL '!D20/100/3.6*1000000+C32*'E Balans VL '!E20/100/3.6*1000000</f>
        <v>59.685534615733069</v>
      </c>
      <c r="K10" s="33"/>
      <c r="L10" s="33"/>
      <c r="M10" s="33"/>
      <c r="N10" s="33">
        <f>C32*'E Balans VL '!Y20/100/3.6*1000000</f>
        <v>211.99934787828704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34.759234979088603</v>
      </c>
      <c r="C12" s="33"/>
      <c r="D12" s="37">
        <f>IF( ISERROR(IND_min_gas_kWh/1000),0,IND_min_gas_kWh/1000)*0.902</f>
        <v>98.712806774981743</v>
      </c>
      <c r="E12" s="33">
        <f>C34*'E Balans VL '!I22/100/3.6*1000000</f>
        <v>0.86214203143374069</v>
      </c>
      <c r="F12" s="33">
        <f>C34*'E Balans VL '!L22/100/3.6*1000000+C34*'E Balans VL '!N22/100/3.6*1000000</f>
        <v>3.6935015360731009</v>
      </c>
      <c r="G12" s="34"/>
      <c r="H12" s="33"/>
      <c r="I12" s="33"/>
      <c r="J12" s="40">
        <f>C34*'E Balans VL '!D22/100/3.6*1000000+C34*'E Balans VL '!E22/100/3.6*1000000</f>
        <v>0.19745285008648453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47994.509969906503</v>
      </c>
      <c r="C14" s="33"/>
      <c r="D14" s="37">
        <f>IF( ISERROR(IND_chemie_gas_kWh/1000),0,IND_chemie_gas_kWh/1000)*0.902</f>
        <v>74930.812007753339</v>
      </c>
      <c r="E14" s="33">
        <f>C36*'E Balans VL '!I24/100/3.6*1000000</f>
        <v>162.7344458179858</v>
      </c>
      <c r="F14" s="33">
        <f>C36*'E Balans VL '!L24/100/3.6*1000000+C36*'E Balans VL '!N24/100/3.6*1000000</f>
        <v>154.02601089555043</v>
      </c>
      <c r="G14" s="34"/>
      <c r="H14" s="33"/>
      <c r="I14" s="33"/>
      <c r="J14" s="40">
        <f>C36*'E Balans VL '!D24/100/3.6*1000000+C36*'E Balans VL '!E24/100/3.6*1000000</f>
        <v>0</v>
      </c>
      <c r="K14" s="33"/>
      <c r="L14" s="33"/>
      <c r="M14" s="33"/>
      <c r="N14" s="33">
        <f>C36*'E Balans VL '!Y24/100/3.6*1000000</f>
        <v>224.40932187565585</v>
      </c>
      <c r="O14" s="33"/>
      <c r="P14" s="33"/>
      <c r="R14" s="32"/>
    </row>
    <row r="15" spans="1:18">
      <c r="A15" s="6" t="s">
        <v>271</v>
      </c>
      <c r="B15" s="37">
        <f t="shared" si="0"/>
        <v>44331.929944559</v>
      </c>
      <c r="C15" s="33"/>
      <c r="D15" s="37">
        <f>IF( ISERROR(IND_rest_gas_kWh/1000),0,IND_rest_gas_kWh/1000)*0.902</f>
        <v>20485.429011243014</v>
      </c>
      <c r="E15" s="33">
        <f>C37*'E Balans VL '!I15/100/3.6*1000000</f>
        <v>400.08518334411042</v>
      </c>
      <c r="F15" s="33">
        <f>C37*'E Balans VL '!L15/100/3.6*1000000+C37*'E Balans VL '!N15/100/3.6*1000000</f>
        <v>8862.3087746797373</v>
      </c>
      <c r="G15" s="34"/>
      <c r="H15" s="33"/>
      <c r="I15" s="33"/>
      <c r="J15" s="40">
        <f>C37*'E Balans VL '!D15/100/3.6*1000000+C37*'E Balans VL '!E15/100/3.6*1000000</f>
        <v>298.50249903747556</v>
      </c>
      <c r="K15" s="33"/>
      <c r="L15" s="33"/>
      <c r="M15" s="33"/>
      <c r="N15" s="33">
        <f>C37*'E Balans VL '!Y15/100/3.6*1000000</f>
        <v>797.79106854130112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118772.04141898849</v>
      </c>
      <c r="C18" s="21">
        <f>C5+C16</f>
        <v>0</v>
      </c>
      <c r="D18" s="21">
        <f>MAX((D5+D16),0)</f>
        <v>125377.68000976645</v>
      </c>
      <c r="E18" s="21">
        <f>MAX((E5+E16),0)</f>
        <v>893.74940114903063</v>
      </c>
      <c r="F18" s="21">
        <f>MAX((F5+F16),0)</f>
        <v>20514.411643011001</v>
      </c>
      <c r="G18" s="21"/>
      <c r="H18" s="21"/>
      <c r="I18" s="21"/>
      <c r="J18" s="21">
        <f>MAX((J5+J16),0)</f>
        <v>364.3948117110437</v>
      </c>
      <c r="K18" s="21"/>
      <c r="L18" s="21">
        <f>MAX((L5+L16),0)</f>
        <v>0</v>
      </c>
      <c r="M18" s="21"/>
      <c r="N18" s="21">
        <f>MAX((N5+N16),0)</f>
        <v>2100.7107511948525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0.20299263481306484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24109.849629766941</v>
      </c>
      <c r="C22" s="23">
        <f ca="1">C18*C20</f>
        <v>0</v>
      </c>
      <c r="D22" s="23">
        <f>D18*D20</f>
        <v>25326.291361972824</v>
      </c>
      <c r="E22" s="23">
        <f>E18*E20</f>
        <v>202.88111406082996</v>
      </c>
      <c r="F22" s="23">
        <f>F18*F20</f>
        <v>5477.3479086839379</v>
      </c>
      <c r="G22" s="23"/>
      <c r="H22" s="23"/>
      <c r="I22" s="23"/>
      <c r="J22" s="23">
        <f>J18*J20</f>
        <v>128.99576334570946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240.206170107302</v>
      </c>
      <c r="C30" s="39">
        <f>IF(ISERROR(B30*3.6/1000000/'E Balans VL '!Z18*100),0,B30*3.6/1000000/'E Balans VL '!Z18*100)</f>
        <v>1.5990671426222267E-2</v>
      </c>
      <c r="D30" s="238" t="s">
        <v>720</v>
      </c>
    </row>
    <row r="31" spans="1:18">
      <c r="A31" s="6" t="s">
        <v>33</v>
      </c>
      <c r="B31" s="37">
        <f>IF( ISERROR(IND_ander_ele_kWh/1000),0,IND_ander_ele_kWh/1000)</f>
        <v>11679.1272304183</v>
      </c>
      <c r="C31" s="39">
        <f>IF(ISERROR(B31*3.6/1000000/'E Balans VL '!Z19*100),0,B31*3.6/1000000/'E Balans VL '!Z19*100)</f>
        <v>0.51768942636395388</v>
      </c>
      <c r="D31" s="238" t="s">
        <v>720</v>
      </c>
    </row>
    <row r="32" spans="1:18">
      <c r="A32" s="172" t="s">
        <v>41</v>
      </c>
      <c r="B32" s="37">
        <f>IF( ISERROR(IND_voed_ele_kWh/1000),0,IND_voed_ele_kWh/1000)</f>
        <v>14491.5088690183</v>
      </c>
      <c r="C32" s="39">
        <f>IF(ISERROR(B32*3.6/1000000/'E Balans VL '!Z20*100),0,B32*3.6/1000000/'E Balans VL '!Z20*100)</f>
        <v>0.48405796698384879</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34.759234979088603</v>
      </c>
      <c r="C34" s="39">
        <f>IF(ISERROR(B34*3.6/1000000/'E Balans VL '!Z22*100),0,B34*3.6/1000000/'E Balans VL '!Z22*100)</f>
        <v>6.7602893949397953E-3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47994.509969906503</v>
      </c>
      <c r="C36" s="39">
        <f>IF(ISERROR(B36*3.6/1000000/'E Balans VL '!Z24*100),0,B36*3.6/1000000/'E Balans VL '!Z24*100)</f>
        <v>1.1270403624294854</v>
      </c>
      <c r="D36" s="238" t="s">
        <v>720</v>
      </c>
    </row>
    <row r="37" spans="1:5">
      <c r="A37" s="172" t="s">
        <v>271</v>
      </c>
      <c r="B37" s="37">
        <f>IF( ISERROR(IND_rest_ele_kWh/1000),0,IND_rest_ele_kWh/1000)</f>
        <v>44331.929944559</v>
      </c>
      <c r="C37" s="39">
        <f>IF(ISERROR(B37*3.6/1000000/'E Balans VL '!Z15*100),0,B37*3.6/1000000/'E Balans VL '!Z15*100)</f>
        <v>0.32975733589574768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1029.9709037978571</v>
      </c>
      <c r="C5" s="17">
        <f>'Eigen informatie GS &amp; warmtenet'!B60</f>
        <v>0</v>
      </c>
      <c r="D5" s="30">
        <f>IF(ISERROR(SUM(LB_lb_gas_kWh,LB_rest_gas_kWh,onbekend_gas_kWh)/1000),0,SUM(LB_lb_gas_kWh,LB_rest_gas_kWh,onbekend_gas_kWh)/1000)*0.902</f>
        <v>3799.1936540621573</v>
      </c>
      <c r="E5" s="17">
        <f>B17*'E Balans VL '!I25/3.6*1000000/100</f>
        <v>10.786078284178775</v>
      </c>
      <c r="F5" s="17">
        <f>B17*('E Balans VL '!L25/3.6*1000000+'E Balans VL '!N25/3.6*1000000)/100</f>
        <v>5290.0945582684999</v>
      </c>
      <c r="G5" s="18"/>
      <c r="H5" s="17"/>
      <c r="I5" s="17"/>
      <c r="J5" s="17">
        <f>('E Balans VL '!D25+'E Balans VL '!E25)/3.6*1000000*landbouw!B17/100</f>
        <v>91.985633495850507</v>
      </c>
      <c r="K5" s="17"/>
      <c r="L5" s="17">
        <f>L6*(-1)</f>
        <v>0</v>
      </c>
      <c r="M5" s="17"/>
      <c r="N5" s="17">
        <f>N6*(-1)</f>
        <v>0</v>
      </c>
      <c r="O5" s="17"/>
      <c r="P5" s="17"/>
      <c r="R5" s="32"/>
    </row>
    <row r="6" spans="1:18">
      <c r="A6" s="16" t="s">
        <v>497</v>
      </c>
      <c r="B6" s="17" t="s">
        <v>212</v>
      </c>
      <c r="C6" s="17">
        <f>'lokale energieproductie'!O91+'lokale energieproductie'!O60</f>
        <v>12947.142857142855</v>
      </c>
      <c r="D6" s="311">
        <f>('lokale energieproductie'!P60+'lokale energieproductie'!P91)*(-1)</f>
        <v>-25894.28571428571</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1029.9709037978571</v>
      </c>
      <c r="C8" s="21">
        <f>C5+C6</f>
        <v>12947.142857142855</v>
      </c>
      <c r="D8" s="21">
        <f>MAX((D5+D6),0)</f>
        <v>0</v>
      </c>
      <c r="E8" s="21">
        <f>MAX((E5+E6),0)</f>
        <v>10.786078284178775</v>
      </c>
      <c r="F8" s="21">
        <f>MAX((F5+F6),0)</f>
        <v>5290.0945582684999</v>
      </c>
      <c r="G8" s="21"/>
      <c r="H8" s="21"/>
      <c r="I8" s="21"/>
      <c r="J8" s="21">
        <f>MAX((J5+J6),0)</f>
        <v>91.985633495850507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0.20299263481306484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209.07650754272075</v>
      </c>
      <c r="C12" s="23">
        <f ca="1">C8*C10</f>
        <v>3076.8504201680662</v>
      </c>
      <c r="D12" s="23">
        <f>D8*D10</f>
        <v>0</v>
      </c>
      <c r="E12" s="23">
        <f>E8*E10</f>
        <v>2.4484397705085819</v>
      </c>
      <c r="F12" s="23">
        <f>F8*F10</f>
        <v>1412.4552470576896</v>
      </c>
      <c r="G12" s="23"/>
      <c r="H12" s="23"/>
      <c r="I12" s="23"/>
      <c r="J12" s="23">
        <f>J8*J10</f>
        <v>32.562914257531077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0.15853240420711684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96.534245806904366</v>
      </c>
      <c r="C26" s="248">
        <f>B26*'GWP N2O_CH4'!B5</f>
        <v>2027.2191619449916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25.330944400373586</v>
      </c>
      <c r="C27" s="248">
        <f>B27*'GWP N2O_CH4'!B5</f>
        <v>531.94983240784529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1.762457341774226</v>
      </c>
      <c r="C28" s="248">
        <f>B28*'GWP N2O_CH4'!B4</f>
        <v>546.36177595001004</v>
      </c>
      <c r="D28" s="50"/>
    </row>
    <row r="29" spans="1:4">
      <c r="A29" s="41" t="s">
        <v>278</v>
      </c>
      <c r="B29" s="248">
        <f>B34*'ha_N2O bodem landbouw'!B4</f>
        <v>10.319630533582734</v>
      </c>
      <c r="C29" s="248">
        <f>B29*'GWP N2O_CH4'!B4</f>
        <v>3199.0854654106474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1.7054544805723904E-3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1.1022267051497815E-5</v>
      </c>
      <c r="C5" s="446" t="s">
        <v>212</v>
      </c>
      <c r="D5" s="431">
        <f>SUM(D6:D11)</f>
        <v>5.4179917651632197E-5</v>
      </c>
      <c r="E5" s="431">
        <f>SUM(E6:E11)</f>
        <v>5.7375633508372249E-3</v>
      </c>
      <c r="F5" s="444" t="s">
        <v>212</v>
      </c>
      <c r="G5" s="431">
        <f>SUM(G6:G11)</f>
        <v>1.2144505885345704</v>
      </c>
      <c r="H5" s="431">
        <f>SUM(H6:H11)</f>
        <v>0.18216493294963956</v>
      </c>
      <c r="I5" s="446" t="s">
        <v>212</v>
      </c>
      <c r="J5" s="446" t="s">
        <v>212</v>
      </c>
      <c r="K5" s="446" t="s">
        <v>212</v>
      </c>
      <c r="L5" s="446" t="s">
        <v>212</v>
      </c>
      <c r="M5" s="431">
        <f>SUM(M6:M11)</f>
        <v>6.087063740882033E-2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7.196787520921443E-6</v>
      </c>
      <c r="C6" s="432"/>
      <c r="D6" s="432">
        <f>vkm_2011_GW_PW*SUMIFS(TableVerdeelsleutelVkm[CNG],TableVerdeelsleutelVkm[Voertuigtype],"Lichte voertuigen")*SUMIFS(TableECFTransport[EnergieConsumptieFactor (PJ per km)],TableECFTransport[Index],CONCATENATE($A6,"_CNG_CNG"))</f>
        <v>3.1024514449034546E-5</v>
      </c>
      <c r="E6" s="434">
        <f>vkm_2011_GW_PW*SUMIFS(TableVerdeelsleutelVkm[LPG],TableVerdeelsleutelVkm[Voertuigtype],"Lichte voertuigen")*SUMIFS(TableECFTransport[EnergieConsumptieFactor (PJ per km)],TableECFTransport[Index],CONCATENATE($A6,"_LPG_LPG"))</f>
        <v>3.2279103659967352E-3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0.39704183653177383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0.10453288765286817</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2.1981409055149819E-2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0.34140181244962048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1.1706195046308367E-4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1.4747918621753739E-2</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1.8575136490048828E-6</v>
      </c>
      <c r="C8" s="432"/>
      <c r="D8" s="434">
        <f>vkm_2011_NGW_PW*SUMIFS(TableVerdeelsleutelVkm[CNG],TableVerdeelsleutelVkm[Voertuigtype],"Lichte voertuigen")*SUMIFS(TableECFTransport[EnergieConsumptieFactor (PJ per km)],TableECFTransport[Index],CONCATENATE($A8,"_CNG_CNG"))</f>
        <v>1.436569564942786E-5</v>
      </c>
      <c r="E8" s="434">
        <f>vkm_2011_NGW_PW*SUMIFS(TableVerdeelsleutelVkm[LPG],TableVerdeelsleutelVkm[Voertuigtype],"Lichte voertuigen")*SUMIFS(TableECFTransport[EnergieConsumptieFactor (PJ per km)],TableECFTransport[Index],CONCATENATE($A8,"_LPG_LPG"))</f>
        <v>1.3647377083965578E-3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0.15921753850696552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4.6204213305791886E-2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9.0130248176819548E-3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0.11036280310115619</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3.2874179693924892E-5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4.7672364780411798E-3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1.9679658815714887E-6</v>
      </c>
      <c r="C10" s="432"/>
      <c r="D10" s="434">
        <f>vkm_2011_SW_PW*SUMIFS(TableVerdeelsleutelVkm[CNG],TableVerdeelsleutelVkm[Voertuigtype],"Lichte voertuigen")*SUMIFS(TableECFTransport[EnergieConsumptieFactor (PJ per km)],TableECFTransport[Index],CONCATENATE($A10,"_CNG_CNG"))</f>
        <v>8.7897075531697899E-6</v>
      </c>
      <c r="E10" s="434">
        <f>vkm_2011_SW_PW*SUMIFS(TableVerdeelsleutelVkm[LPG],TableVerdeelsleutelVkm[Voertuigtype],"Lichte voertuigen")*SUMIFS(TableECFTransport[EnergieConsumptieFactor (PJ per km)],TableECFTransport[Index],CONCATENATE($A10,"_LPG_LPG"))</f>
        <v>1.1449152764439316E-3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0.12946862284461819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3.124974112528894E-2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7.0365263593866667E-3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7.6957975100436019E-2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2.815473553356795E-5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3.3245220768069734E-3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3.0617408476382817</v>
      </c>
      <c r="C14" s="21"/>
      <c r="D14" s="21">
        <f t="shared" ref="D14:M14" si="0">((D5)*10^9/3600)+D12</f>
        <v>15.049977125453388</v>
      </c>
      <c r="E14" s="21">
        <f t="shared" si="0"/>
        <v>1593.7675974547847</v>
      </c>
      <c r="F14" s="21"/>
      <c r="G14" s="21">
        <f t="shared" si="0"/>
        <v>337347.38570404734</v>
      </c>
      <c r="H14" s="21">
        <f t="shared" si="0"/>
        <v>50601.370263788769</v>
      </c>
      <c r="I14" s="21"/>
      <c r="J14" s="21"/>
      <c r="K14" s="21"/>
      <c r="L14" s="21"/>
      <c r="M14" s="21">
        <f t="shared" si="0"/>
        <v>16908.510391338979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0.20299263481306484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0.62151084177688132</v>
      </c>
      <c r="C18" s="23"/>
      <c r="D18" s="23">
        <f t="shared" ref="D18:M18" si="1">D14*D16</f>
        <v>3.0400953793415848</v>
      </c>
      <c r="E18" s="23">
        <f t="shared" si="1"/>
        <v>361.78524462223612</v>
      </c>
      <c r="F18" s="23"/>
      <c r="G18" s="23">
        <f t="shared" si="1"/>
        <v>90071.751982980641</v>
      </c>
      <c r="H18" s="23">
        <f t="shared" si="1"/>
        <v>12599.741195683404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6.3434583068458453E-3</v>
      </c>
      <c r="H50" s="322">
        <f t="shared" si="2"/>
        <v>0</v>
      </c>
      <c r="I50" s="322">
        <f t="shared" si="2"/>
        <v>0</v>
      </c>
      <c r="J50" s="322">
        <f t="shared" si="2"/>
        <v>0</v>
      </c>
      <c r="K50" s="322">
        <f t="shared" si="2"/>
        <v>0</v>
      </c>
      <c r="L50" s="322">
        <f t="shared" si="2"/>
        <v>0</v>
      </c>
      <c r="M50" s="322">
        <f t="shared" si="2"/>
        <v>2.7039406861487184E-4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6.3434583068458453E-3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2.7039406861487184E-4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1762.0717519016239</v>
      </c>
      <c r="H54" s="21">
        <f t="shared" si="3"/>
        <v>0</v>
      </c>
      <c r="I54" s="21">
        <f t="shared" si="3"/>
        <v>0</v>
      </c>
      <c r="J54" s="21">
        <f t="shared" si="3"/>
        <v>0</v>
      </c>
      <c r="K54" s="21">
        <f t="shared" si="3"/>
        <v>0</v>
      </c>
      <c r="L54" s="21">
        <f t="shared" si="3"/>
        <v>0</v>
      </c>
      <c r="M54" s="21">
        <f t="shared" si="3"/>
        <v>75.109463504131057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0.20299263481306484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470.47315775773359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11397.893748012835</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4212.6018164460365</v>
      </c>
      <c r="C6" s="1181"/>
      <c r="D6" s="1184"/>
      <c r="E6" s="1184"/>
      <c r="F6" s="1187"/>
      <c r="G6" s="1190"/>
      <c r="H6" s="1178"/>
      <c r="I6" s="1184"/>
      <c r="J6" s="1184"/>
      <c r="K6" s="1184"/>
      <c r="L6" s="1214"/>
      <c r="M6" s="559"/>
      <c r="N6" s="1226"/>
      <c r="O6" s="1227"/>
      <c r="Q6" s="557"/>
      <c r="R6" s="1211"/>
      <c r="S6" s="1211"/>
    </row>
    <row r="7" spans="1:19" s="547" customFormat="1">
      <c r="A7" s="560" t="s">
        <v>253</v>
      </c>
      <c r="B7" s="561">
        <f>N57</f>
        <v>9062.9999999999982</v>
      </c>
      <c r="C7" s="562">
        <f>B100</f>
        <v>10662.352941176468</v>
      </c>
      <c r="D7" s="563"/>
      <c r="E7" s="563">
        <f>E100</f>
        <v>0</v>
      </c>
      <c r="F7" s="564"/>
      <c r="G7" s="565"/>
      <c r="H7" s="563">
        <f>I100</f>
        <v>0</v>
      </c>
      <c r="I7" s="563">
        <f>G100+F100</f>
        <v>0</v>
      </c>
      <c r="J7" s="563">
        <f>H100+D100+C100</f>
        <v>0</v>
      </c>
      <c r="K7" s="563"/>
      <c r="L7" s="566"/>
      <c r="M7" s="567">
        <f>C7*$C$11+D7*$D$11+E7*$E$11+F7*$F$11+G7*$G$11+H7*$H$11+I7*$I$11+J7*$J$11</f>
        <v>2153.7952941176468</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24673.49556445887</v>
      </c>
      <c r="C9" s="578">
        <f t="shared" ref="C9:L9" si="0">SUM(C7:C8)</f>
        <v>10662.352941176468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2153.7952941176468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12947.142857142855</v>
      </c>
      <c r="C16" s="594">
        <f>B101</f>
        <v>15231.932773109238</v>
      </c>
      <c r="D16" s="595"/>
      <c r="E16" s="595">
        <f>E101</f>
        <v>0</v>
      </c>
      <c r="F16" s="596"/>
      <c r="G16" s="597"/>
      <c r="H16" s="594">
        <f>I101</f>
        <v>0</v>
      </c>
      <c r="I16" s="595">
        <f>G101+F101</f>
        <v>0</v>
      </c>
      <c r="J16" s="595">
        <f>H101+D101+C101</f>
        <v>0</v>
      </c>
      <c r="K16" s="595"/>
      <c r="L16" s="598"/>
      <c r="M16" s="599">
        <f>C16*$C$21+E16*$E$21+H16*$H$21+I16*$I$21+J16*$J$21+D16*$D$21+F16*$F$21+G16*$G$21+K16*$K$21+L16*$L$21</f>
        <v>3076.8504201680662</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12947.142857142855</v>
      </c>
      <c r="C19" s="577">
        <f>SUM(C16:C18)</f>
        <v>15231.932773109238</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3076.8504201680662</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12030</v>
      </c>
      <c r="C27" s="839">
        <v>2870</v>
      </c>
      <c r="D27" s="656" t="s">
        <v>931</v>
      </c>
      <c r="E27" s="655" t="s">
        <v>932</v>
      </c>
      <c r="F27" s="655" t="s">
        <v>933</v>
      </c>
      <c r="G27" s="655" t="s">
        <v>934</v>
      </c>
      <c r="H27" s="655" t="s">
        <v>935</v>
      </c>
      <c r="I27" s="655" t="s">
        <v>932</v>
      </c>
      <c r="J27" s="838">
        <v>39510</v>
      </c>
      <c r="K27" s="838">
        <v>39513</v>
      </c>
      <c r="L27" s="655" t="s">
        <v>936</v>
      </c>
      <c r="M27" s="655">
        <v>2014</v>
      </c>
      <c r="N27" s="655">
        <v>9062.9999999999982</v>
      </c>
      <c r="O27" s="655">
        <v>12947.142857142855</v>
      </c>
      <c r="P27" s="655">
        <v>25894.28571428571</v>
      </c>
      <c r="Q27" s="655">
        <v>0</v>
      </c>
      <c r="R27" s="655">
        <v>0</v>
      </c>
      <c r="S27" s="655">
        <v>0</v>
      </c>
      <c r="T27" s="655">
        <v>0</v>
      </c>
      <c r="U27" s="655">
        <v>0</v>
      </c>
      <c r="V27" s="655">
        <v>0</v>
      </c>
      <c r="W27" s="655">
        <v>0</v>
      </c>
      <c r="X27" s="655">
        <v>300</v>
      </c>
      <c r="Y27" s="655" t="s">
        <v>34</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2014</v>
      </c>
      <c r="N57" s="613">
        <f>SUM(N27:N56)</f>
        <v>9062.9999999999982</v>
      </c>
      <c r="O57" s="613">
        <f t="shared" ref="O57:W57" si="2">SUM(O27:O56)</f>
        <v>12947.142857142855</v>
      </c>
      <c r="P57" s="613">
        <f t="shared" si="2"/>
        <v>25894.28571428571</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2014</v>
      </c>
      <c r="N60" s="618">
        <f t="shared" ref="N60:W60" si="4">SUMIF($Z$27:$Z$56,"landbouw",N27:N56)</f>
        <v>9062.9999999999982</v>
      </c>
      <c r="O60" s="618">
        <f t="shared" si="4"/>
        <v>12947.142857142855</v>
      </c>
      <c r="P60" s="618">
        <f t="shared" si="4"/>
        <v>25894.28571428571</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10662.352941176468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15231.932773109238</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2018-12-05T15:54:57Z</dcterms:modified>
</cp:coreProperties>
</file>