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sheetId="54"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Q17" i="14" l="1"/>
  <c r="P17"/>
  <c r="O17"/>
  <c r="M17"/>
  <c r="L17"/>
  <c r="K17"/>
  <c r="J17"/>
  <c r="G17"/>
  <c r="D17"/>
  <c r="P81"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R88"/>
  <c r="Q88"/>
  <c r="P88"/>
  <c r="O88"/>
  <c r="N88"/>
  <c r="B8" s="1"/>
  <c r="M88"/>
  <c r="W60"/>
  <c r="V60"/>
  <c r="U60"/>
  <c r="T60"/>
  <c r="S60"/>
  <c r="R60"/>
  <c r="Q60"/>
  <c r="P60"/>
  <c r="D6" i="17" s="1"/>
  <c r="O60" i="18"/>
  <c r="N60"/>
  <c r="M60"/>
  <c r="W59"/>
  <c r="V59"/>
  <c r="U59"/>
  <c r="T59"/>
  <c r="S59"/>
  <c r="F13" i="15" s="1"/>
  <c r="R59" i="18"/>
  <c r="Q59"/>
  <c r="P59"/>
  <c r="O59"/>
  <c r="N59"/>
  <c r="M59"/>
  <c r="W58"/>
  <c r="V58"/>
  <c r="U58"/>
  <c r="T58"/>
  <c r="S58"/>
  <c r="R58"/>
  <c r="Q58"/>
  <c r="P58"/>
  <c r="D16" i="16" s="1"/>
  <c r="O58" i="18"/>
  <c r="C16" i="16" s="1"/>
  <c r="N58" i="1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I17"/>
  <c r="H17"/>
  <c r="G17"/>
  <c r="F17"/>
  <c r="G79" i="14" s="1"/>
  <c r="E17" i="18"/>
  <c r="D17"/>
  <c r="C17"/>
  <c r="B17"/>
  <c r="B16"/>
  <c r="B78" i="14" s="1"/>
  <c r="K11" i="18"/>
  <c r="J11"/>
  <c r="I11"/>
  <c r="H11"/>
  <c r="G11"/>
  <c r="F11"/>
  <c r="E11"/>
  <c r="D11"/>
  <c r="C11"/>
  <c r="L8"/>
  <c r="L9" s="1"/>
  <c r="K8"/>
  <c r="K9" s="1"/>
  <c r="I8"/>
  <c r="J68" i="14" s="1"/>
  <c r="G8" i="18"/>
  <c r="G9" s="1"/>
  <c r="F8"/>
  <c r="F9" s="1"/>
  <c r="E8"/>
  <c r="D8"/>
  <c r="D9" s="1"/>
  <c r="C8"/>
  <c r="D68" i="14" s="1"/>
  <c r="B6" i="18"/>
  <c r="B5"/>
  <c r="B4"/>
  <c r="B64" i="14" s="1"/>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C6"/>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B11"/>
  <c r="D10"/>
  <c r="D9"/>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K17"/>
  <c r="J17"/>
  <c r="J19" s="1"/>
  <c r="K35" i="14" s="1"/>
  <c r="I17" i="19"/>
  <c r="F17"/>
  <c r="E17"/>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B12"/>
  <c r="Q12" s="1"/>
  <c r="N11"/>
  <c r="L11"/>
  <c r="K11"/>
  <c r="J11"/>
  <c r="H11"/>
  <c r="G11"/>
  <c r="F11"/>
  <c r="M8"/>
  <c r="K8"/>
  <c r="I8"/>
  <c r="H8"/>
  <c r="G8"/>
  <c r="P7"/>
  <c r="O7"/>
  <c r="M7"/>
  <c r="K7"/>
  <c r="I7"/>
  <c r="H7"/>
  <c r="G7"/>
  <c r="M4"/>
  <c r="K4"/>
  <c r="I4"/>
  <c r="H4"/>
  <c r="G4"/>
  <c r="M79" i="14"/>
  <c r="K79"/>
  <c r="I79"/>
  <c r="E79"/>
  <c r="B79"/>
  <c r="M78"/>
  <c r="L78"/>
  <c r="H78"/>
  <c r="G78"/>
  <c r="E78"/>
  <c r="H68"/>
  <c r="F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N11"/>
  <c r="L11"/>
  <c r="J11"/>
  <c r="I11"/>
  <c r="H11"/>
  <c r="O9"/>
  <c r="M9"/>
  <c r="L9"/>
  <c r="K9"/>
  <c r="I9"/>
  <c r="H9"/>
  <c r="G9"/>
  <c r="A7" i="31"/>
  <c r="A6"/>
  <c r="L68" i="14" l="1"/>
  <c r="J15" i="16"/>
  <c r="C13" i="15"/>
  <c r="C16" s="1"/>
  <c r="D10" i="14" s="1"/>
  <c r="B16" i="16"/>
  <c r="B13" i="15"/>
  <c r="F6" i="17"/>
  <c r="C18" i="16"/>
  <c r="C8" i="48" s="1"/>
  <c r="B8" i="9"/>
  <c r="B6" i="48" s="1"/>
  <c r="Q6" s="1"/>
  <c r="C97" i="18"/>
  <c r="I100" s="1"/>
  <c r="H7" s="1"/>
  <c r="I67" i="14" s="1"/>
  <c r="F16" i="16"/>
  <c r="D13" i="15"/>
  <c r="D8" i="17"/>
  <c r="D7" i="48" s="1"/>
  <c r="D24" s="1"/>
  <c r="O80" i="14"/>
  <c r="J8" i="18"/>
  <c r="E8" i="16"/>
  <c r="C12" i="14"/>
  <c r="R12" s="1"/>
  <c r="F19" i="19"/>
  <c r="G35" i="14" s="1"/>
  <c r="L19" i="19"/>
  <c r="M35" i="14" s="1"/>
  <c r="L12" i="13"/>
  <c r="M37" i="14" s="1"/>
  <c r="B97" i="18"/>
  <c r="H101" s="1"/>
  <c r="L4" i="48"/>
  <c r="L21" s="1"/>
  <c r="M12" i="13"/>
  <c r="N37" i="14" s="1"/>
  <c r="N16" i="16"/>
  <c r="D12" i="22"/>
  <c r="E17" i="14"/>
  <c r="D13" i="48"/>
  <c r="D30" s="1"/>
  <c r="D31" i="20"/>
  <c r="E43" i="14" s="1"/>
  <c r="I101" i="18"/>
  <c r="H16" s="1"/>
  <c r="I78" i="14" s="1"/>
  <c r="I81" s="1"/>
  <c r="C101" i="18"/>
  <c r="B101"/>
  <c r="C16" s="1"/>
  <c r="D78" i="14" s="1"/>
  <c r="E12" i="22"/>
  <c r="F17" i="14"/>
  <c r="E13" i="48"/>
  <c r="E30" s="1"/>
  <c r="B12" i="22"/>
  <c r="C17" i="14"/>
  <c r="B13" i="48"/>
  <c r="B13" i="16"/>
  <c r="C35"/>
  <c r="C64" i="14"/>
  <c r="D11" i="48"/>
  <c r="D28" s="1"/>
  <c r="D14" i="15"/>
  <c r="K19" i="19"/>
  <c r="L35" i="14" s="1"/>
  <c r="I19" i="19"/>
  <c r="J35" i="14" s="1"/>
  <c r="P18" i="16"/>
  <c r="P22" s="1"/>
  <c r="Q39" i="14" s="1"/>
  <c r="J8" i="17"/>
  <c r="J7" i="48" s="1"/>
  <c r="J24" s="1"/>
  <c r="G19" i="18"/>
  <c r="K19"/>
  <c r="L16" i="16"/>
  <c r="L18" s="1"/>
  <c r="N6" i="17"/>
  <c r="C100" i="18"/>
  <c r="G100"/>
  <c r="B81" i="14"/>
  <c r="F100" i="18"/>
  <c r="E31" i="20"/>
  <c r="F43" i="14" s="1"/>
  <c r="H14" i="22"/>
  <c r="F8" i="17"/>
  <c r="G22" i="14" s="1"/>
  <c r="H100" i="18"/>
  <c r="B100"/>
  <c r="C7" s="1"/>
  <c r="E9" i="14"/>
  <c r="J9"/>
  <c r="J15" s="1"/>
  <c r="N9"/>
  <c r="N15" s="1"/>
  <c r="I11" i="48"/>
  <c r="M11"/>
  <c r="M19" i="19"/>
  <c r="N35" i="14" s="1"/>
  <c r="J7" i="15"/>
  <c r="O5" i="16"/>
  <c r="B7" i="18"/>
  <c r="B67" i="14" s="1"/>
  <c r="C80"/>
  <c r="L6" i="17"/>
  <c r="N13" i="15"/>
  <c r="L13"/>
  <c r="L16" s="1"/>
  <c r="K5" i="48"/>
  <c r="K22" s="1"/>
  <c r="K20" i="15"/>
  <c r="L36" i="14" s="1"/>
  <c r="L41" s="1"/>
  <c r="G27" i="20"/>
  <c r="G12" i="22" s="1"/>
  <c r="G7"/>
  <c r="G10"/>
  <c r="G6"/>
  <c r="G9"/>
  <c r="G11"/>
  <c r="G8"/>
  <c r="M7"/>
  <c r="M10"/>
  <c r="M8"/>
  <c r="M11"/>
  <c r="M9"/>
  <c r="M6"/>
  <c r="L18" i="14"/>
  <c r="Q18"/>
  <c r="Q20" s="1"/>
  <c r="G18"/>
  <c r="G20" s="1"/>
  <c r="M27" i="20"/>
  <c r="J11" i="15"/>
  <c r="N7"/>
  <c r="B11"/>
  <c r="N11"/>
  <c r="F11"/>
  <c r="B38" i="13"/>
  <c r="B50" s="1"/>
  <c r="B7" i="15"/>
  <c r="J18" i="14"/>
  <c r="J20" s="1"/>
  <c r="F18"/>
  <c r="E58" i="22"/>
  <c r="F44" i="14" s="1"/>
  <c r="K18"/>
  <c r="J58" i="22"/>
  <c r="K44" i="14" s="1"/>
  <c r="K46" s="1"/>
  <c r="D18"/>
  <c r="D20" s="1"/>
  <c r="I18"/>
  <c r="L58" i="22"/>
  <c r="M44" i="14" s="1"/>
  <c r="M18"/>
  <c r="M20" s="1"/>
  <c r="E18"/>
  <c r="N58" i="22"/>
  <c r="O44" i="14" s="1"/>
  <c r="O46" s="1"/>
  <c r="O18"/>
  <c r="O20" s="1"/>
  <c r="P18"/>
  <c r="O58" i="22"/>
  <c r="P44" i="14" s="1"/>
  <c r="P46" s="1"/>
  <c r="H58" i="22"/>
  <c r="I44" i="14" s="1"/>
  <c r="I58" i="22"/>
  <c r="J44" i="14" s="1"/>
  <c r="J46" s="1"/>
  <c r="K58" i="22"/>
  <c r="L44" i="14" s="1"/>
  <c r="L46" s="1"/>
  <c r="P58" i="22"/>
  <c r="Q44" i="14" s="1"/>
  <c r="Q46" s="1"/>
  <c r="D58" i="22"/>
  <c r="E44" i="14" s="1"/>
  <c r="F58" i="22"/>
  <c r="G44" i="14" s="1"/>
  <c r="G46" s="1"/>
  <c r="I17"/>
  <c r="H13" i="48"/>
  <c r="H30" s="1"/>
  <c r="H31" i="20"/>
  <c r="I43" i="14" s="1"/>
  <c r="C78" i="22"/>
  <c r="E7" i="15"/>
  <c r="Q9" i="14"/>
  <c r="G5" i="48"/>
  <c r="G22" s="1"/>
  <c r="E12" i="15"/>
  <c r="O5"/>
  <c r="O16" s="1"/>
  <c r="M20"/>
  <c r="N36" i="14" s="1"/>
  <c r="N41" s="1"/>
  <c r="N10"/>
  <c r="G20" i="15"/>
  <c r="H36" i="14" s="1"/>
  <c r="H41" s="1"/>
  <c r="H20" i="15"/>
  <c r="I36" i="14" s="1"/>
  <c r="I41" s="1"/>
  <c r="I10"/>
  <c r="I15" s="1"/>
  <c r="C66"/>
  <c r="B66"/>
  <c r="F8" i="16"/>
  <c r="D12" i="17"/>
  <c r="E48" i="14" s="1"/>
  <c r="J9" i="16"/>
  <c r="B7" i="48"/>
  <c r="C22" i="14"/>
  <c r="C65"/>
  <c r="B65"/>
  <c r="F6" i="15"/>
  <c r="F8"/>
  <c r="N10" i="16"/>
  <c r="E14"/>
  <c r="H15" i="14"/>
  <c r="L15"/>
  <c r="M46"/>
  <c r="H69"/>
  <c r="P20"/>
  <c r="K20"/>
  <c r="L20"/>
  <c r="L69"/>
  <c r="D5" i="15"/>
  <c r="D16" s="1"/>
  <c r="B8"/>
  <c r="J8"/>
  <c r="F12"/>
  <c r="I20"/>
  <c r="J36" i="14" s="1"/>
  <c r="J41" s="1"/>
  <c r="B9" i="16"/>
  <c r="N9"/>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D5"/>
  <c r="B5"/>
  <c r="P11" i="48"/>
  <c r="P28" s="1"/>
  <c r="I5"/>
  <c r="I22" s="1"/>
  <c r="K28"/>
  <c r="H5"/>
  <c r="O11"/>
  <c r="P9" i="14"/>
  <c r="M5" i="48"/>
  <c r="G28"/>
  <c r="C11" i="14"/>
  <c r="B4" i="48"/>
  <c r="K21"/>
  <c r="G21"/>
  <c r="M16"/>
  <c r="M21" s="1"/>
  <c r="B39" i="13"/>
  <c r="B51" s="1"/>
  <c r="F5" s="1"/>
  <c r="F8" s="1"/>
  <c r="G11" i="14" s="1"/>
  <c r="I21" i="48"/>
  <c r="O21"/>
  <c r="H24"/>
  <c r="L16"/>
  <c r="L28" s="1"/>
  <c r="H21"/>
  <c r="K24"/>
  <c r="K25"/>
  <c r="Q11" i="14"/>
  <c r="P12" i="13"/>
  <c r="Q37" i="14" s="1"/>
  <c r="P4" i="48"/>
  <c r="P21" s="1"/>
  <c r="D12" i="13"/>
  <c r="E37" i="14" s="1"/>
  <c r="D4" i="48"/>
  <c r="D21" s="1"/>
  <c r="E11" i="14"/>
  <c r="H28" i="48"/>
  <c r="G25"/>
  <c r="E28"/>
  <c r="I28"/>
  <c r="C22" i="13"/>
  <c r="C21"/>
  <c r="C20"/>
  <c r="H25" i="48"/>
  <c r="F28"/>
  <c r="J28"/>
  <c r="N28"/>
  <c r="O24"/>
  <c r="I25"/>
  <c r="P11" i="14"/>
  <c r="O12" i="13"/>
  <c r="P37" i="14" s="1"/>
  <c r="D67"/>
  <c r="C9" i="18"/>
  <c r="H9"/>
  <c r="B10" i="48"/>
  <c r="C18" i="14"/>
  <c r="F7" i="48"/>
  <c r="F24" s="1"/>
  <c r="P24"/>
  <c r="E5" i="17"/>
  <c r="C8"/>
  <c r="G24" i="48"/>
  <c r="I24"/>
  <c r="G81" i="14"/>
  <c r="D79"/>
  <c r="H79"/>
  <c r="H81" s="1"/>
  <c r="L79"/>
  <c r="L81" s="1"/>
  <c r="F79"/>
  <c r="J79"/>
  <c r="E68"/>
  <c r="E69" s="1"/>
  <c r="I68"/>
  <c r="I69" s="1"/>
  <c r="M68"/>
  <c r="M69" s="1"/>
  <c r="D19" i="18"/>
  <c r="L19"/>
  <c r="B68" i="14"/>
  <c r="G68"/>
  <c r="G69" s="1"/>
  <c r="K68"/>
  <c r="E81"/>
  <c r="M81"/>
  <c r="B19" i="18"/>
  <c r="F19"/>
  <c r="D11" i="14"/>
  <c r="C4" i="48"/>
  <c r="M8" i="18"/>
  <c r="M17"/>
  <c r="M18"/>
  <c r="D13" i="14"/>
  <c r="E22" l="1"/>
  <c r="G31" i="20"/>
  <c r="H43" i="14" s="1"/>
  <c r="E101" i="18"/>
  <c r="E16" s="1"/>
  <c r="F78" i="14" s="1"/>
  <c r="P8" i="48"/>
  <c r="P25" s="1"/>
  <c r="H19" i="18"/>
  <c r="G13" i="48"/>
  <c r="G30" s="1"/>
  <c r="D101" i="18"/>
  <c r="J16" s="1"/>
  <c r="H17" i="14"/>
  <c r="G101" i="18"/>
  <c r="I16" s="1"/>
  <c r="F81" i="14"/>
  <c r="O78"/>
  <c r="K14" i="48"/>
  <c r="F101" i="18"/>
  <c r="J12" i="17"/>
  <c r="K48" i="14" s="1"/>
  <c r="E100" i="18"/>
  <c r="E7" s="1"/>
  <c r="F67" i="14" s="1"/>
  <c r="F69" s="1"/>
  <c r="D100" i="18"/>
  <c r="J7" s="1"/>
  <c r="E9"/>
  <c r="Q13" i="14"/>
  <c r="L5" i="17"/>
  <c r="L8" s="1"/>
  <c r="M28" i="48"/>
  <c r="B35" i="13"/>
  <c r="N5" i="17"/>
  <c r="N8" s="1"/>
  <c r="D81" i="14"/>
  <c r="O79"/>
  <c r="O81" s="1"/>
  <c r="B17" i="6" s="1"/>
  <c r="B9" i="18"/>
  <c r="M31" i="20"/>
  <c r="N43" i="14" s="1"/>
  <c r="M12" i="22"/>
  <c r="O18" i="16"/>
  <c r="B34" i="13"/>
  <c r="B46" s="1"/>
  <c r="E5" s="1"/>
  <c r="E8" s="1"/>
  <c r="E12" s="1"/>
  <c r="F37" i="14" s="1"/>
  <c r="I7" i="18"/>
  <c r="K22" i="14"/>
  <c r="M13"/>
  <c r="L8" i="48"/>
  <c r="L25" s="1"/>
  <c r="L22" i="16"/>
  <c r="M39" i="14" s="1"/>
  <c r="C7" i="48"/>
  <c r="D22" i="14"/>
  <c r="M22" i="48"/>
  <c r="B36" i="13"/>
  <c r="B48" s="1"/>
  <c r="C48" s="1"/>
  <c r="N5" s="1"/>
  <c r="N8" s="1"/>
  <c r="N4" i="48" s="1"/>
  <c r="N21" s="1"/>
  <c r="O68" i="14"/>
  <c r="C68"/>
  <c r="E8" i="17"/>
  <c r="F22" i="14" s="1"/>
  <c r="D69"/>
  <c r="O67"/>
  <c r="D18" i="16"/>
  <c r="D22" s="1"/>
  <c r="E39" i="14" s="1"/>
  <c r="C79"/>
  <c r="C19" i="18"/>
  <c r="B14" i="22"/>
  <c r="B9" i="48" s="1"/>
  <c r="E14" i="22"/>
  <c r="F19" i="14" s="1"/>
  <c r="F20" s="1"/>
  <c r="D14" i="22"/>
  <c r="D9" i="48" s="1"/>
  <c r="D26" s="1"/>
  <c r="M51" i="22"/>
  <c r="M50" s="1"/>
  <c r="M54" s="1"/>
  <c r="G51"/>
  <c r="G50" s="1"/>
  <c r="G54" s="1"/>
  <c r="N17" i="14"/>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B47" i="13"/>
  <c r="N12" i="16"/>
  <c r="J12"/>
  <c r="F12"/>
  <c r="E12"/>
  <c r="Q11" i="48"/>
  <c r="O5"/>
  <c r="R9" i="14"/>
  <c r="C19"/>
  <c r="C20" s="1"/>
  <c r="O28" i="48"/>
  <c r="H22"/>
  <c r="D5"/>
  <c r="D22" s="1"/>
  <c r="K31"/>
  <c r="M25"/>
  <c r="M24"/>
  <c r="I31"/>
  <c r="C50" i="13"/>
  <c r="J5" s="1"/>
  <c r="J8" s="1"/>
  <c r="E7" i="48"/>
  <c r="E24" s="1"/>
  <c r="E12" i="17"/>
  <c r="F48" i="14" s="1"/>
  <c r="C5" i="48"/>
  <c r="K78" i="14" l="1"/>
  <c r="K81" s="1"/>
  <c r="J19" i="18"/>
  <c r="M16"/>
  <c r="M19" s="1"/>
  <c r="J78" i="14"/>
  <c r="I19" i="18"/>
  <c r="C14" i="48"/>
  <c r="R17" i="14"/>
  <c r="E13"/>
  <c r="E19" i="18"/>
  <c r="E19" i="14"/>
  <c r="E20" s="1"/>
  <c r="L7" i="48"/>
  <c r="L24" s="1"/>
  <c r="M22" i="14"/>
  <c r="L12" i="17"/>
  <c r="M48" i="14" s="1"/>
  <c r="O22"/>
  <c r="N12" i="17"/>
  <c r="O48" i="14" s="1"/>
  <c r="N7" i="48"/>
  <c r="N24" s="1"/>
  <c r="D8"/>
  <c r="D25" s="1"/>
  <c r="D31" s="1"/>
  <c r="R22" i="14"/>
  <c r="E16" i="15"/>
  <c r="E20" s="1"/>
  <c r="F36" i="14" s="1"/>
  <c r="K67"/>
  <c r="K69" s="1"/>
  <c r="J9" i="18"/>
  <c r="J67" i="14"/>
  <c r="I9" i="18"/>
  <c r="M7"/>
  <c r="M9" s="1"/>
  <c r="K10" i="14"/>
  <c r="J16" i="15"/>
  <c r="J20" s="1"/>
  <c r="K36" i="14" s="1"/>
  <c r="O8" i="48"/>
  <c r="O25" s="1"/>
  <c r="P13" i="14"/>
  <c r="P15" s="1"/>
  <c r="P23" s="1"/>
  <c r="M14" i="22"/>
  <c r="M18" s="1"/>
  <c r="N45" i="14" s="1"/>
  <c r="O22" i="16"/>
  <c r="P39" i="14" s="1"/>
  <c r="P41" s="1"/>
  <c r="P53" s="1"/>
  <c r="D18" i="22"/>
  <c r="E45" i="14" s="1"/>
  <c r="E46" s="1"/>
  <c r="E18" i="22"/>
  <c r="F45" i="14" s="1"/>
  <c r="F46" s="1"/>
  <c r="E9" i="48"/>
  <c r="E26" s="1"/>
  <c r="M58" i="22"/>
  <c r="N44" i="14" s="1"/>
  <c r="M10" i="48"/>
  <c r="M27" s="1"/>
  <c r="N18" i="14"/>
  <c r="H31" i="48"/>
  <c r="H14"/>
  <c r="G18" i="22"/>
  <c r="H45" i="14" s="1"/>
  <c r="H19"/>
  <c r="G9" i="48"/>
  <c r="G58" i="22"/>
  <c r="H44" i="14" s="1"/>
  <c r="H18"/>
  <c r="G10" i="48"/>
  <c r="P14"/>
  <c r="B8"/>
  <c r="E15" i="14"/>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N12" i="13"/>
  <c r="O37" i="14" s="1"/>
  <c r="O11"/>
  <c r="C38" i="13"/>
  <c r="C39"/>
  <c r="C32"/>
  <c r="C34"/>
  <c r="Q7" i="48"/>
  <c r="E4"/>
  <c r="E21" s="1"/>
  <c r="F11" i="14"/>
  <c r="J4" i="48"/>
  <c r="J12" i="13"/>
  <c r="K37" i="14" s="1"/>
  <c r="K11"/>
  <c r="N5" i="48"/>
  <c r="L20" i="15"/>
  <c r="F10" i="14" l="1"/>
  <c r="J81"/>
  <c r="C78"/>
  <c r="C81" s="1"/>
  <c r="J5" i="48"/>
  <c r="J22" s="1"/>
  <c r="D14"/>
  <c r="E23" i="14"/>
  <c r="E5" i="48"/>
  <c r="E22" s="1"/>
  <c r="N19" i="14"/>
  <c r="N20" s="1"/>
  <c r="N23" s="1"/>
  <c r="M9" i="48"/>
  <c r="M26" s="1"/>
  <c r="M31" s="1"/>
  <c r="P55" i="14"/>
  <c r="O31" i="48"/>
  <c r="J18" i="16"/>
  <c r="J8" i="48" s="1"/>
  <c r="J25" s="1"/>
  <c r="N18" i="16"/>
  <c r="N8" i="48" s="1"/>
  <c r="E18" i="16"/>
  <c r="E22" s="1"/>
  <c r="F39" i="14" s="1"/>
  <c r="F41" s="1"/>
  <c r="F53" s="1"/>
  <c r="O14" i="48"/>
  <c r="F18" i="16"/>
  <c r="G13" i="14" s="1"/>
  <c r="G15" s="1"/>
  <c r="G23" s="1"/>
  <c r="J69"/>
  <c r="C67"/>
  <c r="C69" s="1"/>
  <c r="B14" i="48"/>
  <c r="K13" i="14"/>
  <c r="K15" s="1"/>
  <c r="K23" s="1"/>
  <c r="H46"/>
  <c r="H53" s="1"/>
  <c r="G26" i="48"/>
  <c r="G14"/>
  <c r="G27"/>
  <c r="Q10"/>
  <c r="R18" i="14"/>
  <c r="H20"/>
  <c r="H23" s="1"/>
  <c r="Q9" i="48"/>
  <c r="M14"/>
  <c r="N46" i="14"/>
  <c r="N53" s="1"/>
  <c r="F13"/>
  <c r="F15" s="1"/>
  <c r="F23" s="1"/>
  <c r="C15"/>
  <c r="C23" s="1"/>
  <c r="B3" i="6" s="1"/>
  <c r="E53" i="14"/>
  <c r="E55" s="1"/>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O13"/>
  <c r="O15" s="1"/>
  <c r="F22" i="16"/>
  <c r="G39" i="14" s="1"/>
  <c r="G41" s="1"/>
  <c r="N22" i="16"/>
  <c r="O39" i="14" s="1"/>
  <c r="O41" s="1"/>
  <c r="F8" i="48"/>
  <c r="Q4"/>
  <c r="N22"/>
  <c r="R11" i="14"/>
  <c r="J21" i="48"/>
  <c r="R10" i="14"/>
  <c r="Q5" i="48" l="1"/>
  <c r="R19" i="14"/>
  <c r="R20" s="1"/>
  <c r="N25" i="48"/>
  <c r="N31" s="1"/>
  <c r="N14"/>
  <c r="E8"/>
  <c r="Q8" s="1"/>
  <c r="Q14" s="1"/>
  <c r="J22" i="16"/>
  <c r="K39" i="14" s="1"/>
  <c r="K41" s="1"/>
  <c r="K53" s="1"/>
  <c r="K55" s="1"/>
  <c r="J31" i="48"/>
  <c r="J14"/>
  <c r="N55" i="14"/>
  <c r="H55"/>
  <c r="G31" i="48"/>
  <c r="F55" i="14"/>
  <c r="O53"/>
  <c r="G53"/>
  <c r="G55" s="1"/>
  <c r="O69" s="1"/>
  <c r="B9" i="6" s="1"/>
  <c r="B12" s="1"/>
  <c r="M53" i="14"/>
  <c r="M55" s="1"/>
  <c r="C12" i="13"/>
  <c r="D37" i="14" s="1"/>
  <c r="D41" s="1"/>
  <c r="C24" i="48"/>
  <c r="C28"/>
  <c r="C22"/>
  <c r="C25"/>
  <c r="C21"/>
  <c r="R13" i="14"/>
  <c r="R15" s="1"/>
  <c r="F25" i="48"/>
  <c r="F31" s="1"/>
  <c r="F14"/>
  <c r="B20" i="16" l="1"/>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<sst xmlns="http://schemas.openxmlformats.org/spreadsheetml/2006/main" count="2243" uniqueCount="944">
  <si>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</si>
  <si>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</si>
  <si>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</si>
  <si>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</si>
  <si>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</si>
  <si>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</si>
  <si>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</si>
  <si>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</si>
  <si>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</si>
  <si>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</si>
  <si>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</si>
  <si>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</si>
  <si>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</si>
  <si>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</si>
  <si>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</si>
  <si>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</si>
  <si>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</si>
  <si>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</si>
  <si>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</si>
  <si>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</si>
  <si>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</si>
  <si>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</si>
  <si>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</si>
  <si>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</si>
  <si>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</si>
  <si>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</si>
  <si>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</si>
  <si>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</si>
  <si>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</si>
  <si>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</si>
  <si>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</si>
  <si>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</si>
  <si>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</si>
  <si>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</si>
  <si>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</si>
  <si>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</si>
  <si>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</si>
  <si>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</si>
  <si>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</si>
  <si>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</si>
  <si>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</si>
  <si>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</si>
  <si>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</si>
  <si>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</si>
  <si>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</si>
  <si>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</si>
  <si>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</si>
  <si>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</si>
  <si>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</si>
  <si>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</si>
  <si>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</si>
  <si>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</si>
  <si>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</si>
  <si>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</si>
  <si>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</si>
  <si>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</si>
  <si>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</si>
  <si>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</si>
  <si>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</si>
  <si>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</si>
  <si>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</si>
  <si>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</si>
  <si>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</si>
  <si>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</si>
  <si>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</si>
  <si>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</si>
  <si>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</si>
  <si>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</si>
  <si>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</si>
  <si>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</si>
  <si>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</si>
  <si>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</si>
  <si>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</si>
  <si>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</si>
  <si>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</si>
  <si>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</si>
  <si>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</si>
  <si>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</si>
  <si>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</si>
  <si>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</si>
  <si>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</si>
  <si>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</si>
  <si>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</si>
  <si>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</si>
  <si>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</si>
  <si>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</si>
  <si>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</si>
  <si>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</si>
  <si>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</si>
  <si>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</si>
  <si>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</si>
  <si>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</si>
  <si>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</si>
  <si>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</si>
  <si>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</si>
  <si>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</si>
  <si>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</si>
  <si>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</si>
  <si>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</si>
  <si>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</si>
  <si>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</si>
  <si>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</si>
  <si>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</si>
  <si>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</si>
  <si>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</si>
  <si>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</si>
  <si>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</si>
  <si>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</si>
  <si>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</si>
  <si>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</si>
  <si>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</si>
  <si>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</si>
  <si>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</si>
  <si>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</si>
  <si>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</si>
  <si>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</si>
  <si>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</si>
  <si>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</si>
  <si>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</si>
  <si>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</si>
  <si>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</si>
  <si>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</si>
  <si>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</si>
  <si>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</si>
  <si>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</si>
  <si>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</si>
  <si>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</si>
  <si>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</si>
  <si>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</si>
  <si>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</si>
  <si>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</si>
  <si>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</si>
  <si>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</si>
  <si>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</si>
  <si>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</si>
  <si>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</si>
  <si>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</si>
  <si>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</si>
  <si>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</si>
  <si>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</si>
  <si>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</si>
  <si>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</si>
  <si>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</si>
  <si>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</si>
  <si>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</si>
  <si>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</si>
  <si>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</si>
  <si>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</si>
  <si>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</si>
  <si>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</si>
  <si>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</si>
  <si>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</si>
  <si>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</si>
  <si>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</si>
  <si>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</si>
  <si>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</si>
  <si>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</si>
  <si>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</si>
  <si>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</si>
  <si>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</si>
  <si>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</si>
  <si>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</si>
  <si>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</si>
  <si>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</si>
  <si>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</si>
  <si>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</si>
  <si>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</si>
  <si>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</si>
  <si>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</si>
  <si>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</si>
  <si>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</si>
  <si>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</si>
  <si>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</si>
  <si>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</si>
  <si>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</si>
  <si>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</si>
  <si>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</si>
  <si>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</si>
  <si>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</si>
  <si>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</si>
  <si>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</si>
  <si>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</si>
  <si>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</si>
  <si>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</si>
  <si>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</si>
  <si>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</si>
  <si>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</si>
  <si>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</si>
  <si>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</si>
  <si>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</si>
  <si>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</si>
  <si>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</si>
  <si>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</si>
  <si>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</si>
  <si>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</si>
  <si>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</si>
  <si>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</si>
  <si>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</si>
  <si>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</si>
  <si>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</si>
  <si>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</si>
  <si>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</si>
  <si>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</si>
  <si>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</si>
  <si>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</si>
  <si>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</si>
  <si>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</si>
  <si>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</si>
  <si>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</si>
  <si>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</si>
  <si>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</si>
  <si>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</si>
  <si>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</si>
  <si>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</si>
  <si>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</si>
  <si>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</si>
  <si>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</si>
  <si>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</si>
  <si>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</si>
  <si>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</si>
  <si>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</si>
  <si>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</si>
  <si>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</si>
  <si>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</si>
  <si>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</si>
  <si>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</si>
  <si>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</si>
  <si>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</si>
  <si>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</si>
  <si>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</si>
  <si>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</si>
  <si>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</si>
  <si>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</si>
  <si>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</si>
  <si>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</si>
  <si>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</si>
  <si>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</si>
  <si>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</si>
  <si>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</si>
  <si>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</si>
  <si>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</si>
  <si>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</si>
  <si>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</si>
  <si>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</si>
  <si>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</si>
  <si>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</si>
  <si>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</si>
  <si>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</si>
  <si>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</si>
  <si>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</si>
  <si>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</si>
  <si>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</si>
  <si>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</si>
  <si>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</si>
  <si>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</si>
  <si>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</si>
  <si>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</si>
  <si>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</si>
  <si>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</si>
  <si>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</si>
  <si>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</si>
  <si>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</si>
  <si>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</si>
  <si>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</si>
  <si>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</si>
  <si>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</si>
  <si>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</si>
  <si>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</si>
  <si>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</si>
  <si>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</si>
  <si>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</si>
  <si>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</si>
  <si>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</si>
  <si>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</si>
  <si>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</si>
  <si>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</si>
  <si>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</si>
  <si>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</si>
  <si>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</si>
  <si>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</si>
  <si>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</si>
  <si>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</si>
  <si>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</si>
  <si>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</si>
  <si>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</si>
  <si>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</si>
  <si>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</si>
  <si>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</si>
  <si>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</si>
  <si>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</si>
  <si>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</si>
  <si>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</si>
  <si>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</si>
  <si>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</si>
  <si>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</si>
  <si>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</si>
  <si>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</si>
  <si>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</si>
  <si>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</si>
  <si>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</si>
  <si>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</si>
  <si>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</si>
  <si>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</si>
  <si>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</si>
  <si>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</si>
  <si>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</si>
  <si>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</si>
  <si>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</si>
  <si>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</si>
  <si>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</si>
  <si>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</si>
  <si>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</si>
  <si>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</si>
  <si>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</si>
  <si>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</si>
  <si>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</si>
  <si>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</si>
  <si>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</si>
  <si>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</si>
  <si>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</si>
  <si>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</si>
  <si>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</si>
  <si>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</si>
  <si>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</si>
  <si>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</si>
  <si>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</si>
  <si>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</si>
  <si>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</si>
  <si>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</si>
  <si>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</si>
  <si>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</si>
  <si>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</si>
  <si>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</si>
  <si>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</si>
  <si>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</si>
  <si>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</si>
  <si>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</si>
  <si>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</si>
  <si>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</si>
  <si>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</si>
  <si>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</si>
  <si>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</si>
  <si>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</si>
  <si>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</si>
  <si>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</si>
  <si>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</si>
  <si>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</si>
  <si>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</si>
  <si>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</si>
  <si>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</si>
  <si>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</si>
  <si>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</si>
  <si>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</si>
  <si>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</si>
  <si>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</si>
  <si>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</si>
  <si>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</si>
  <si>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</si>
  <si>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</si>
  <si>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</si>
  <si>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</si>
  <si>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</si>
  <si>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</si>
  <si>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</si>
  <si>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</si>
  <si>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</si>
  <si>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</si>
  <si>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</si>
  <si>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</si>
  <si>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</si>
  <si>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</si>
  <si>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</si>
  <si>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</si>
  <si>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</si>
  <si>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</si>
  <si>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</si>
  <si>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</si>
  <si>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</si>
  <si>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</si>
  <si>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</si>
  <si>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</si>
  <si>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</si>
  <si>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</si>
  <si>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</si>
  <si>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</si>
  <si>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</si>
  <si>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</si>
  <si>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</si>
  <si>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</si>
  <si>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</si>
  <si>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</si>
  <si>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</si>
  <si>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</si>
  <si>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</si>
  <si>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</si>
  <si>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</si>
  <si>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</si>
  <si>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</si>
  <si>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</si>
  <si>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</si>
  <si>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</si>
  <si>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</si>
  <si>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</si>
  <si>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</si>
  <si>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</si>
  <si>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</si>
  <si>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</si>
  <si>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</si>
  <si>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</si>
  <si>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</si>
  <si>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</si>
  <si>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</si>
  <si>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</si>
  <si>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</si>
  <si>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</si>
  <si>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</si>
  <si>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</si>
  <si>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</si>
  <si>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</si>
  <si>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</si>
  <si>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</si>
  <si>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</si>
  <si>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</si>
  <si>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</si>
  <si>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</si>
  <si>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</si>
  <si>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</si>
  <si>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</si>
  <si>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</si>
  <si>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</si>
  <si>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</si>
  <si>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</si>
  <si>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</si>
  <si>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</si>
  <si>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</si>
  <si>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</si>
  <si>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</si>
  <si>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</si>
  <si>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</si>
  <si>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</si>
  <si>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</si>
  <si>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</si>
  <si>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</si>
  <si>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</si>
  <si>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</si>
  <si>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</si>
  <si>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</si>
  <si>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</si>
  <si>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</si>
  <si>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</si>
  <si>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</si>
  <si>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</si>
  <si>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</si>
  <si>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</si>
  <si>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</si>
  <si>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</si>
  <si>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</si>
  <si>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</si>
  <si>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</si>
  <si>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</si>
  <si>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</si>
  <si>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</si>
  <si>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</si>
  <si>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</si>
  <si>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</si>
  <si>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</si>
  <si>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</si>
  <si>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</si>
  <si>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</si>
  <si>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</si>
  <si>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</si>
  <si>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</si>
  <si>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</si>
  <si>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</si>
  <si>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</si>
  <si>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</si>
  <si>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</si>
  <si>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</si>
  <si>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</si>
  <si>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</si>
  <si>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</si>
  <si>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</si>
  <si>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</si>
  <si>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</si>
  <si>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</si>
  <si>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</si>
  <si>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</si>
  <si>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</si>
  <si>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</si>
  <si>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</si>
  <si>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</si>
  <si>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</si>
  <si>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</si>
  <si>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</si>
  <si>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</si>
  <si>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</si>
  <si>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</si>
  <si>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</si>
  <si>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</si>
  <si>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</si>
  <si>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</si>
  <si>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</si>
  <si>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</si>
  <si>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</si>
  <si>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</si>
  <si>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</si>
  <si>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</si>
  <si>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</si>
  <si>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</si>
  <si>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</si>
  <si>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</si>
  <si>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</si>
  <si>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</si>
  <si>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</si>
  <si>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</si>
  <si>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</si>
  <si>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</si>
  <si>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</si>
  <si>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</si>
  <si>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</si>
  <si>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</si>
  <si>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</si>
  <si>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</si>
  <si>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</si>
  <si>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</si>
  <si>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</si>
  <si>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</si>
  <si>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</si>
  <si>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</si>
  <si>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</si>
  <si>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</si>
  <si>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</si>
  <si>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</si>
  <si>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</si>
  <si>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</si>
  <si>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</si>
  <si>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</si>
  <si>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</si>
  <si>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</si>
  <si>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</si>
  <si>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</si>
  <si>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</si>
  <si>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</si>
  <si>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</si>
  <si>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</si>
  <si>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</si>
  <si>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</si>
  <si>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</si>
  <si>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</si>
  <si>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</si>
  <si>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</si>
  <si>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</si>
  <si>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</si>
  <si>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</si>
  <si>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</si>
  <si>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</si>
  <si>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</si>
  <si>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</si>
  <si>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</si>
  <si>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</si>
  <si>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</si>
  <si>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</si>
  <si>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</si>
  <si>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</si>
  <si>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</si>
  <si>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</si>
  <si>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</si>
  <si>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</si>
  <si>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</si>
  <si>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</si>
  <si>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</si>
  <si>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</si>
  <si>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</si>
  <si>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</si>
  <si>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</si>
  <si>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</si>
  <si>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</si>
  <si>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</si>
  <si>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</si>
  <si>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</si>
  <si>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</si>
  <si>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</si>
  <si>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</si>
  <si>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</si>
  <si>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</si>
  <si>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</si>
  <si>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</si>
  <si>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</si>
  <si>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</si>
  <si>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</si>
  <si>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</si>
  <si>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</si>
  <si>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</si>
  <si>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</si>
  <si>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</si>
  <si>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</si>
  <si>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</si>
  <si>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</si>
  <si>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</si>
  <si>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</si>
  <si>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</si>
  <si>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</si>
  <si>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</si>
  <si>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</si>
  <si>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</si>
  <si>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</si>
  <si>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</si>
  <si>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</si>
  <si>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</si>
  <si>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</si>
  <si>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</si>
  <si>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</si>
  <si>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</si>
  <si>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</si>
  <si>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</si>
  <si>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</si>
  <si>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</si>
  <si>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</si>
  <si>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</si>
  <si>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</si>
  <si>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</si>
  <si>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</si>
  <si>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</si>
  <si>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</si>
  <si>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</si>
  <si>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</si>
  <si>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</si>
  <si>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</si>
  <si>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</si>
  <si>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</si>
  <si>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</si>
  <si>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</si>
  <si>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</si>
  <si>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</si>
  <si>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</si>
  <si>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</si>
  <si>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</si>
  <si>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</si>
  <si>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</si>
  <si>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</si>
  <si>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</si>
  <si>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</si>
  <si>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</si>
  <si>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</si>
  <si>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</si>
  <si>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</si>
  <si>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</si>
  <si>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</si>
  <si>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</si>
  <si>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</si>
  <si>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</si>
  <si>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</si>
  <si>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</si>
  <si>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</si>
  <si>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</si>
  <si>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</si>
  <si>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</si>
  <si>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</si>
  <si>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</si>
  <si>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</si>
  <si>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</si>
  <si>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</si>
  <si>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</si>
  <si>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</si>
  <si>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</si>
  <si>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</si>
  <si>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</si>
  <si>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</si>
  <si>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</si>
  <si>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</si>
  <si>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</si>
  <si>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</si>
  <si>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</si>
  <si>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</si>
  <si>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</si>
  <si>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</si>
  <si>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</si>
  <si>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</si>
  <si>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</si>
  <si>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</si>
  <si>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</si>
  <si>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</si>
  <si>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</si>
  <si>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</si>
  <si>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</si>
  <si>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</si>
  <si>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</si>
  <si>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</si>
  <si>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</si>
  <si>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</si>
  <si>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</si>
  <si>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</si>
  <si>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</si>
  <si>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</si>
  <si>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</si>
  <si>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</si>
  <si>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</si>
  <si>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</si>
  <si>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</si>
  <si>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</si>
  <si>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</si>
  <si>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</si>
  <si>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</si>
  <si>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</si>
  <si>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</si>
  <si>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</si>
  <si>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</si>
  <si>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</si>
  <si>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</si>
  <si>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</si>
  <si>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</si>
  <si>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</si>
  <si>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</si>
  <si>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</si>
  <si>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</si>
  <si>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</si>
  <si>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</si>
  <si>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</si>
  <si>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</si>
  <si>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</si>
  <si>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</si>
  <si>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</si>
  <si>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</si>
  <si>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</si>
  <si>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</si>
  <si>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</si>
  <si>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</si>
  <si>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</si>
  <si>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</si>
  <si>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</si>
  <si>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</si>
  <si>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</si>
  <si>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</si>
  <si>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</si>
  <si>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</si>
  <si>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</si>
  <si>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</si>
  <si>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</si>
  <si>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</si>
  <si>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</si>
  <si>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</si>
  <si>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</si>
  <si>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</si>
  <si>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</si>
  <si>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</si>
  <si>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</si>
  <si>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</si>
  <si>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</si>
  <si>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</si>
  <si>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</si>
  <si>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</si>
  <si>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</si>
  <si>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</si>
  <si>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</si>
  <si>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</si>
  <si>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</si>
  <si>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</si>
  <si>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</si>
  <si>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</si>
  <si>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</si>
  <si>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</si>
  <si>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</si>
  <si>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</si>
  <si>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</si>
  <si>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</si>
  <si>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</si>
  <si>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</si>
  <si>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</si>
  <si>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</si>
  <si>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</si>
  <si>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</si>
  <si>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</si>
  <si>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</si>
  <si>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</si>
  <si>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</si>
  <si>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</si>
  <si>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</si>
  <si>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</si>
  <si>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</si>
  <si>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</si>
  <si>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</si>
  <si>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</si>
  <si>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</si>
  <si>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</si>
  <si>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</si>
  <si>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</si>
  <si>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</si>
  <si>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</si>
  <si>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</si>
  <si>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</si>
  <si>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</si>
  <si>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</si>
  <si>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</si>
  <si>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</si>
  <si>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</si>
  <si>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</si>
  <si>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</si>
  <si>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</si>
  <si>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</si>
  <si>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</si>
  <si>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</si>
  <si>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</si>
  <si>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</si>
  <si>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</si>
  <si>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</si>
  <si>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</si>
  <si>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</si>
  <si>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</si>
  <si>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</si>
  <si>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</si>
  <si>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</si>
  <si>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</si>
  <si>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</si>
  <si>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</si>
  <si>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</si>
  <si>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</si>
  <si>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</si>
  <si>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</si>
  <si>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</si>
  <si>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</si>
  <si>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</si>
  <si>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</si>
  <si>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</si>
  <si>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</si>
  <si>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</si>
  <si>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</si>
  <si>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</si>
  <si>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</si>
  <si>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</si>
  <si>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</si>
  <si>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</si>
  <si>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</si>
  <si>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</si>
  <si>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</si>
  <si>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</si>
  <si>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</si>
  <si>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</si>
  <si>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</si>
  <si>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</si>
  <si>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</si>
  <si>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</si>
  <si>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</si>
  <si>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</si>
  <si>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</si>
  <si>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</si>
  <si>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</si>
  <si>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</si>
  <si>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</si>
  <si>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</si>
  <si>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</si>
  <si>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</si>
  <si>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</si>
  <si>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</si>
  <si>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</si>
  <si>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</si>
  <si>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</si>
  <si>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</si>
  <si>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</si>
  <si>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</si>
  <si>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</si>
  <si>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</si>
  <si>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</si>
  <si>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</si>
  <si>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</si>
  <si>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</si>
  <si>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</si>
  <si>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</si>
  <si>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</si>
  <si>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</si>
  <si>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</si>
  <si>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</si>
  <si>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</si>
  <si>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</si>
  <si>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</si>
  <si>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</si>
  <si>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</si>
  <si>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</si>
  <si>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</si>
  <si>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</si>
  <si>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</si>
  <si>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</si>
  <si>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</si>
  <si>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</si>
  <si>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</si>
  <si>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</si>
  <si>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</si>
  <si>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</si>
  <si>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</si>
  <si>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</si>
  <si>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</si>
  <si>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</si>
  <si>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</si>
  <si>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</si>
  <si>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</si>
  <si>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</si>
  <si>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</si>
  <si>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</si>
  <si>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</si>
  <si>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</si>
  <si>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</si>
  <si>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</si>
  <si>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</si>
  <si>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</si>
  <si>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</si>
  <si>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</si>
  <si>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</si>
  <si>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</si>
  <si>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</si>
  <si>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</si>
  <si>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</si>
  <si>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</si>
  <si>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</si>
  <si>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</si>
  <si>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</si>
  <si>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</si>
  <si>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</si>
  <si>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</si>
  <si>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</si>
  <si>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</si>
  <si>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</si>
  <si>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versie: 2011_13</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</si>
  <si>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</si>
  <si>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11052</t>
  </si>
  <si>
    <t>WOMMELGEM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</si>
  <si>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</si>
  <si>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</si>
  <si>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</si>
  <si>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</si>
  <si>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</si>
  <si>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</si>
  <si>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</si>
  <si>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Albrecht C.V.</t>
  </si>
  <si>
    <t>Heyaardstraat 5, 2160 Wommelgem</t>
  </si>
  <si>
    <t>WKK-0143 Albrecht C.V.</t>
  </si>
  <si>
    <t>interne verbrandingsmotor</t>
  </si>
  <si>
    <t>WKK interne verbrandinsgmotor (gas)</t>
  </si>
  <si>
    <t>eilandwerking</t>
  </si>
  <si>
    <t>Dirk Mermans</t>
  </si>
  <si>
    <t>Vremdesteenweg 120 , 2160 Wommelgem</t>
  </si>
  <si>
    <t>WKK-0286 Dirk Mermans</t>
  </si>
  <si>
    <t>IVEKA</t>
  </si>
  <si>
    <t>Pieting Power BVBA</t>
  </si>
  <si>
    <t>Pietingbaan 105, 2160 Wommelgem</t>
  </si>
  <si>
    <t>WKK-0133 Groeikracht Wommelgem</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</si>
</sst>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6">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66">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0" fillId="0" borderId="202" xfId="0" applyNumberFormat="1" applyBorder="1"/>
    <xf numFmtId="3" fontId="124" fillId="0" borderId="27" xfId="0" applyNumberFormat="1" applyFont="1" applyBorder="1"/>
    <xf numFmtId="3" fontId="6" fillId="0" borderId="203" xfId="0" applyNumberFormat="1" applyFont="1" applyBorder="1"/>
    <xf numFmtId="3" fontId="6" fillId="0" borderId="194" xfId="0" applyNumberFormat="1" applyFont="1" applyBorder="1"/>
    <xf numFmtId="3" fontId="0" fillId="0" borderId="201"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4" fillId="0" borderId="0" xfId="0" applyNumberFormat="1" applyFont="1" applyAlignment="1">
      <alignment vertical="top"/>
    </xf>
    <xf numFmtId="3" fontId="0" fillId="61" borderId="0" xfId="0" applyNumberFormat="1" applyFont="1" applyFill="1" applyAlignment="1">
      <alignment horizontal="left" vertical="top" wrapText="1"/>
    </xf>
    <xf numFmtId="3" fontId="125"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2" fillId="12" borderId="194" xfId="0" applyNumberFormat="1" applyFont="1" applyFill="1" applyBorder="1" applyAlignment="1">
      <alignment horizontal="center" vertical="center" wrapText="1"/>
    </xf>
    <xf numFmtId="3" fontId="0" fillId="6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204" xfId="0" applyNumberFormat="1" applyFont="1" applyBorder="1" applyAlignment="1">
      <alignment horizontal="left" vertical="top"/>
    </xf>
    <xf numFmtId="3" fontId="21" fillId="0" borderId="205" xfId="0" applyNumberFormat="1" applyFont="1" applyBorder="1" applyAlignment="1">
      <alignment horizontal="left" vertical="top"/>
    </xf>
    <xf numFmtId="3" fontId="22" fillId="60" borderId="206" xfId="0" applyNumberFormat="1" applyFont="1" applyFill="1" applyBorder="1" applyAlignment="1">
      <alignment horizontal="left" vertical="top" wrapText="1"/>
    </xf>
    <xf numFmtId="3" fontId="0" fillId="60" borderId="206" xfId="0" applyNumberFormat="1" applyFill="1" applyBorder="1" applyAlignment="1">
      <alignment horizontal="left" vertical="top" wrapText="1"/>
    </xf>
    <xf numFmtId="3" fontId="22" fillId="62" borderId="206" xfId="0" applyNumberFormat="1" applyFont="1" applyFill="1" applyBorder="1" applyAlignment="1">
      <alignment horizontal="left" vertical="top" wrapText="1"/>
    </xf>
    <xf numFmtId="3" fontId="22" fillId="0" borderId="206" xfId="0" applyNumberFormat="1" applyFont="1" applyFill="1" applyBorder="1" applyAlignment="1">
      <alignment horizontal="left" vertical="top" wrapText="1"/>
    </xf>
    <xf numFmtId="172" fontId="0" fillId="60" borderId="206" xfId="0" applyFill="1" applyBorder="1" applyAlignment="1">
      <alignment horizontal="left" vertical="top" wrapText="1"/>
    </xf>
    <xf numFmtId="3" fontId="22" fillId="61" borderId="206" xfId="0" applyNumberFormat="1" applyFont="1" applyFill="1" applyBorder="1" applyAlignment="1">
      <alignment horizontal="left" vertical="top" wrapText="1"/>
    </xf>
    <xf numFmtId="3" fontId="0" fillId="0" borderId="206" xfId="0" applyNumberFormat="1" applyFill="1" applyBorder="1" applyAlignment="1">
      <alignment horizontal="left" vertical="top" wrapText="1"/>
    </xf>
    <xf numFmtId="3" fontId="22" fillId="0" borderId="206" xfId="0" applyNumberFormat="1" applyFont="1" applyBorder="1" applyAlignment="1">
      <alignment horizontal="left" vertical="top" wrapText="1"/>
    </xf>
    <xf numFmtId="3" fontId="0" fillId="0" borderId="206" xfId="0" applyNumberFormat="1" applyBorder="1" applyAlignment="1">
      <alignment horizontal="left" vertical="top" wrapText="1"/>
    </xf>
    <xf numFmtId="3" fontId="123" fillId="0" borderId="205" xfId="0" applyNumberFormat="1" applyFont="1" applyBorder="1" applyAlignment="1">
      <alignment horizontal="left" vertical="top"/>
    </xf>
    <xf numFmtId="3" fontId="0" fillId="0" borderId="206" xfId="0" applyNumberFormat="1" applyBorder="1"/>
    <xf numFmtId="3" fontId="0" fillId="0" borderId="207" xfId="0" applyNumberFormat="1" applyBorder="1"/>
    <xf numFmtId="3" fontId="122" fillId="12" borderId="28" xfId="0" applyNumberFormat="1" applyFont="1" applyFill="1" applyBorder="1" applyAlignment="1">
      <alignment horizontal="center" vertical="center" wrapText="1"/>
    </xf>
    <xf numFmtId="172" fontId="0" fillId="60" borderId="208" xfId="0" applyFill="1" applyBorder="1" applyAlignment="1">
      <alignment horizontal="left" vertical="top" wrapText="1"/>
    </xf>
    <xf numFmtId="3" fontId="22" fillId="0" borderId="208" xfId="0" applyNumberFormat="1" applyFont="1" applyBorder="1" applyAlignment="1">
      <alignment horizontal="left" vertical="top" wrapText="1"/>
    </xf>
    <xf numFmtId="3" fontId="0" fillId="0" borderId="208" xfId="0" applyNumberFormat="1" applyFill="1" applyBorder="1" applyAlignment="1">
      <alignment horizontal="left" vertical="top" wrapText="1"/>
    </xf>
    <xf numFmtId="3" fontId="22" fillId="0" borderId="208" xfId="0" applyNumberFormat="1" applyFont="1" applyFill="1" applyBorder="1" applyAlignment="1">
      <alignment horizontal="left" vertical="top" wrapText="1"/>
    </xf>
    <xf numFmtId="3" fontId="0" fillId="0" borderId="208" xfId="0" applyNumberFormat="1" applyBorder="1"/>
    <xf numFmtId="3" fontId="22" fillId="60" borderId="209" xfId="0" applyNumberFormat="1" applyFont="1" applyFill="1" applyBorder="1" applyAlignment="1">
      <alignment horizontal="left" vertical="top" wrapText="1"/>
    </xf>
    <xf numFmtId="3" fontId="0" fillId="0" borderId="209" xfId="0" applyNumberFormat="1" applyFill="1" applyBorder="1" applyAlignment="1">
      <alignment horizontal="left" vertical="top" wrapText="1"/>
    </xf>
    <xf numFmtId="3" fontId="0" fillId="61" borderId="209" xfId="0" applyNumberFormat="1" applyFill="1" applyBorder="1" applyAlignment="1">
      <alignment horizontal="left" vertical="top" wrapText="1"/>
    </xf>
    <xf numFmtId="3" fontId="22" fillId="62" borderId="209" xfId="0" applyNumberFormat="1" applyFont="1" applyFill="1" applyBorder="1" applyAlignment="1">
      <alignment horizontal="left" vertical="top" wrapText="1"/>
    </xf>
    <xf numFmtId="3" fontId="22" fillId="0" borderId="209" xfId="0" applyNumberFormat="1" applyFont="1" applyFill="1" applyBorder="1" applyAlignment="1">
      <alignment horizontal="left" vertical="top" wrapText="1"/>
    </xf>
    <xf numFmtId="172" fontId="0" fillId="60" borderId="209" xfId="0" applyFill="1" applyBorder="1" applyAlignment="1">
      <alignment horizontal="left" vertical="top" wrapText="1"/>
    </xf>
    <xf numFmtId="172" fontId="0" fillId="60" borderId="210" xfId="0" applyFill="1" applyBorder="1" applyAlignment="1">
      <alignment horizontal="left" vertical="top" wrapText="1"/>
    </xf>
    <xf numFmtId="3" fontId="0" fillId="60" borderId="211" xfId="0" applyNumberFormat="1" applyFill="1" applyBorder="1" applyAlignment="1">
      <alignment horizontal="left" vertical="top" wrapText="1"/>
    </xf>
    <xf numFmtId="3" fontId="0" fillId="0" borderId="213" xfId="0" applyNumberFormat="1" applyBorder="1"/>
    <xf numFmtId="3" fontId="0" fillId="0" borderId="212"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2" fillId="12" borderId="194" xfId="0" applyNumberFormat="1" applyFont="1" applyFill="1" applyBorder="1" applyAlignment="1">
      <alignment horizontal="center" vertical="center" wrapText="1"/>
    </xf>
    <xf numFmtId="3" fontId="122" fillId="12" borderId="14" xfId="0" applyNumberFormat="1" applyFont="1" applyFill="1" applyBorder="1" applyAlignment="1">
      <alignment horizontal="center" vertical="top" wrapText="1"/>
    </xf>
    <xf numFmtId="3" fontId="122" fillId="12" borderId="28" xfId="0" applyNumberFormat="1" applyFont="1" applyFill="1" applyBorder="1" applyAlignment="1">
      <alignment horizontal="center" vertical="top" wrapText="1"/>
    </xf>
    <xf numFmtId="3" fontId="122" fillId="12" borderId="8" xfId="0" applyNumberFormat="1" applyFont="1" applyFill="1" applyBorder="1" applyAlignment="1">
      <alignment horizontal="center" vertical="center" wrapText="1"/>
    </xf>
    <xf numFmtId="3" fontId="122" fillId="12" borderId="11" xfId="0" applyNumberFormat="1" applyFont="1" applyFill="1" applyBorder="1" applyAlignment="1">
      <alignment horizontal="center" vertical="center" wrapText="1"/>
    </xf>
    <xf numFmtId="3" fontId="122" fillId="12" borderId="9" xfId="0" applyNumberFormat="1" applyFont="1" applyFill="1" applyBorder="1" applyAlignment="1">
      <alignment horizontal="center" vertical="center" wrapText="1"/>
    </xf>
    <xf numFmtId="3" fontId="122" fillId="12" borderId="13" xfId="0" applyNumberFormat="1" applyFont="1" applyFill="1" applyBorder="1" applyAlignment="1">
      <alignment horizontal="center" vertical="center" wrapText="1"/>
    </xf>
    <xf numFmtId="3" fontId="122" fillId="12" borderId="10" xfId="0" applyNumberFormat="1" applyFont="1" applyFill="1" applyBorder="1" applyAlignment="1">
      <alignment horizontal="center" vertical="center" wrapText="1"/>
    </xf>
    <xf numFmtId="3" fontId="122"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920</v>
      </c>
      <c r="B4" s="106"/>
      <c r="C4" s="107"/>
    </row>
    <row r="5" spans="1:7" s="394" customFormat="1" ht="15.75" customHeight="1">
      <c r="A5" s="391" t="s">
        <v>0</v>
      </c>
      <c r="B5" s="392"/>
      <c r="C5" s="393"/>
    </row>
    <row r="6" spans="1:7" s="394" customFormat="1" ht="15" customHeight="1">
      <c r="A6" s="395" t="str">
        <f>txtNIS</f>
        <v>11052</v>
      </c>
      <c r="B6" s="396"/>
      <c r="C6" s="397"/>
    </row>
    <row r="7" spans="1:7" s="394" customFormat="1" ht="15.75" customHeight="1">
      <c r="A7" s="398" t="str">
        <f>txtMunicipality</f>
        <v>WOMMELGEM</v>
      </c>
      <c r="B7" s="396"/>
      <c r="C7" s="397"/>
    </row>
    <row r="8" spans="1:7" ht="15.75" thickBot="1">
      <c r="A8" s="45"/>
      <c r="B8" s="108"/>
      <c r="C8" s="109"/>
    </row>
    <row r="9" spans="1:7" s="387" customFormat="1" ht="15.75" thickBot="1">
      <c r="A9" s="411" t="s">
        <v>358</v>
      </c>
      <c r="B9" s="414"/>
      <c r="C9" s="415"/>
    </row>
    <row r="10" spans="1:7" s="15" customFormat="1" ht="57.75" customHeight="1" thickBot="1">
      <c r="A10" s="1035" t="s">
        <v>724</v>
      </c>
      <c r="B10" s="1036"/>
      <c r="C10" s="1037"/>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1038" t="s">
        <v>533</v>
      </c>
      <c r="C16" s="1039"/>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144"/>
      <c r="K10" s="58"/>
    </row>
    <row r="11" spans="1:11" s="43" customFormat="1">
      <c r="A11" s="44" t="s">
        <v>577</v>
      </c>
      <c r="B11" s="47"/>
      <c r="D11" s="143" t="s">
        <v>395</v>
      </c>
      <c r="I11" s="1144"/>
      <c r="K11" s="58"/>
    </row>
    <row r="12" spans="1:11" s="43" customFormat="1">
      <c r="A12" s="44" t="s">
        <v>578</v>
      </c>
      <c r="B12" s="47"/>
      <c r="D12" s="143" t="s">
        <v>395</v>
      </c>
      <c r="I12" s="1144"/>
      <c r="K12" s="58"/>
    </row>
    <row r="13" spans="1:11" s="43" customFormat="1">
      <c r="A13" s="44"/>
      <c r="B13" s="461"/>
      <c r="D13" s="96"/>
      <c r="I13" s="1144"/>
    </row>
    <row r="14" spans="1:11" s="43" customFormat="1">
      <c r="A14" s="305" t="s">
        <v>575</v>
      </c>
      <c r="B14" s="514"/>
      <c r="C14" s="142" t="s">
        <v>183</v>
      </c>
      <c r="D14" s="145" t="s">
        <v>394</v>
      </c>
      <c r="I14" s="1144"/>
    </row>
    <row r="15" spans="1:11" s="43" customFormat="1">
      <c r="A15" s="44" t="s">
        <v>71</v>
      </c>
      <c r="B15" s="47"/>
      <c r="D15" s="143" t="s">
        <v>395</v>
      </c>
      <c r="I15" s="1144"/>
      <c r="J15" s="1144"/>
    </row>
    <row r="16" spans="1:11" s="43" customFormat="1">
      <c r="A16" s="44" t="s">
        <v>540</v>
      </c>
      <c r="B16" s="47"/>
      <c r="D16" s="143" t="s">
        <v>395</v>
      </c>
      <c r="I16" s="1144"/>
      <c r="J16" s="1144"/>
    </row>
    <row r="17" spans="1:11" s="43" customFormat="1">
      <c r="A17" s="44" t="s">
        <v>78</v>
      </c>
      <c r="B17" s="47"/>
      <c r="D17" s="143" t="s">
        <v>395</v>
      </c>
      <c r="I17" s="1144"/>
      <c r="J17" s="1144"/>
    </row>
    <row r="18" spans="1:11" s="43" customFormat="1">
      <c r="A18" s="44" t="s">
        <v>541</v>
      </c>
      <c r="B18" s="47"/>
      <c r="D18" s="143" t="s">
        <v>395</v>
      </c>
      <c r="I18" s="1144"/>
      <c r="J18" s="1144"/>
      <c r="K18" s="58"/>
    </row>
    <row r="19" spans="1:11" s="43" customFormat="1">
      <c r="A19" s="44" t="s">
        <v>77</v>
      </c>
      <c r="B19" s="47"/>
      <c r="D19" s="143" t="s">
        <v>395</v>
      </c>
      <c r="I19" s="1144"/>
      <c r="J19" s="1145"/>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144"/>
      <c r="J35" s="1144"/>
    </row>
    <row r="36" spans="1:11" s="43" customFormat="1">
      <c r="A36" s="449" t="s">
        <v>540</v>
      </c>
      <c r="B36" s="47"/>
      <c r="D36" s="143" t="s">
        <v>395</v>
      </c>
      <c r="I36" s="1144"/>
      <c r="J36" s="1144"/>
    </row>
    <row r="37" spans="1:11" s="43" customFormat="1">
      <c r="A37" s="449" t="s">
        <v>78</v>
      </c>
      <c r="B37" s="47"/>
      <c r="D37" s="143" t="s">
        <v>395</v>
      </c>
      <c r="I37" s="1144"/>
      <c r="J37" s="1144"/>
    </row>
    <row r="38" spans="1:11" s="43" customFormat="1">
      <c r="A38" s="449" t="s">
        <v>541</v>
      </c>
      <c r="B38" s="47"/>
      <c r="D38" s="143" t="s">
        <v>395</v>
      </c>
      <c r="I38" s="1144"/>
      <c r="J38" s="1144"/>
      <c r="K38" s="58"/>
    </row>
    <row r="39" spans="1:11" s="43" customFormat="1">
      <c r="A39" s="449" t="s">
        <v>77</v>
      </c>
      <c r="B39" s="47"/>
      <c r="D39" s="143" t="s">
        <v>395</v>
      </c>
      <c r="I39" s="1144"/>
      <c r="J39" s="1145"/>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11052</v>
      </c>
      <c r="B1" s="1240"/>
      <c r="C1" s="1240"/>
      <c r="D1" s="1240"/>
      <c r="E1" s="1240"/>
      <c r="F1" s="1241"/>
    </row>
    <row r="3" spans="1:6" ht="19.5">
      <c r="A3" s="1242" t="s">
        <v>0</v>
      </c>
    </row>
    <row r="4" spans="1:6" ht="22.5">
      <c r="A4" s="1243" t="s">
        <v>922</v>
      </c>
    </row>
    <row r="5" spans="1:6" ht="22.5">
      <c r="A5" s="1243" t="s">
        <v>923</v>
      </c>
    </row>
    <row r="6" spans="1:6" ht="15.75" thickBot="1"/>
    <row r="7" spans="1:6" ht="20.25" thickBot="1">
      <c r="A7" s="1244" t="s">
        <v>1</v>
      </c>
      <c r="B7" s="334" t="s">
        <v>397</v>
      </c>
      <c r="C7" s="334" t="s">
        <v>924</v>
      </c>
      <c r="D7" s="334"/>
      <c r="E7" s="334"/>
      <c r="F7" s="335"/>
    </row>
    <row r="8" spans="1:6" ht="16.5" thickTop="1" thickBot="1">
      <c r="A8" s="1245" t="s">
        <v>4</v>
      </c>
      <c r="B8" s="1246">
        <v>2011</v>
      </c>
      <c r="C8" s="1246">
        <v>2020</v>
      </c>
      <c r="D8" s="1240"/>
      <c r="E8" s="1240"/>
      <c r="F8" s="1241"/>
    </row>
    <row r="9" spans="1:6">
      <c r="A9" s="1247" t="s">
        <v>2</v>
      </c>
      <c r="B9" s="336">
        <v>4964</v>
      </c>
      <c r="C9" s="336">
        <v>5289</v>
      </c>
      <c r="D9" s="336"/>
      <c r="E9" s="336"/>
      <c r="F9" s="336"/>
    </row>
    <row r="10" spans="1:6">
      <c r="A10" s="337"/>
    </row>
    <row r="11" spans="1:6" ht="15.75" thickBot="1">
      <c r="A11" s="337"/>
    </row>
    <row r="12" spans="1:6" ht="20.25" thickBot="1">
      <c r="A12" s="1244" t="s">
        <v>3</v>
      </c>
      <c r="B12" s="334" t="s">
        <v>397</v>
      </c>
      <c r="C12" s="334" t="s">
        <v>636</v>
      </c>
      <c r="D12" s="334"/>
      <c r="E12" s="334"/>
      <c r="F12" s="338"/>
    </row>
    <row r="13" spans="1:6" ht="16.5" thickTop="1" thickBot="1">
      <c r="A13" s="1248" t="s">
        <v>4</v>
      </c>
      <c r="B13" s="1249" t="s">
        <v>5</v>
      </c>
      <c r="C13" s="1249"/>
      <c r="D13" s="1249"/>
      <c r="E13" s="1249"/>
      <c r="F13" s="1250"/>
    </row>
    <row r="14" spans="1:6">
      <c r="A14" s="1251" t="s">
        <v>794</v>
      </c>
      <c r="B14" s="333">
        <v>326</v>
      </c>
    </row>
    <row r="15" spans="1:6">
      <c r="A15" s="1251" t="s">
        <v>185</v>
      </c>
      <c r="B15" s="333">
        <v>0</v>
      </c>
    </row>
    <row r="16" spans="1:6">
      <c r="A16" s="1251" t="s">
        <v>6</v>
      </c>
      <c r="B16" s="333">
        <v>0</v>
      </c>
    </row>
    <row r="17" spans="1:6">
      <c r="A17" s="1251" t="s">
        <v>7</v>
      </c>
      <c r="B17" s="333">
        <v>29</v>
      </c>
    </row>
    <row r="18" spans="1:6">
      <c r="A18" s="1251" t="s">
        <v>8</v>
      </c>
      <c r="B18" s="333">
        <v>21</v>
      </c>
    </row>
    <row r="19" spans="1:6">
      <c r="A19" s="1251" t="s">
        <v>9</v>
      </c>
      <c r="B19" s="333">
        <v>15</v>
      </c>
    </row>
    <row r="20" spans="1:6">
      <c r="A20" s="1251" t="s">
        <v>10</v>
      </c>
      <c r="B20" s="333">
        <v>23</v>
      </c>
    </row>
    <row r="21" spans="1:6">
      <c r="A21" s="1251" t="s">
        <v>11</v>
      </c>
      <c r="B21" s="333">
        <v>0</v>
      </c>
    </row>
    <row r="22" spans="1:6">
      <c r="A22" s="1251" t="s">
        <v>12</v>
      </c>
      <c r="B22" s="333">
        <v>0</v>
      </c>
    </row>
    <row r="23" spans="1:6">
      <c r="A23" s="1251" t="s">
        <v>13</v>
      </c>
      <c r="B23" s="333">
        <v>0</v>
      </c>
    </row>
    <row r="24" spans="1:6">
      <c r="A24" s="1251" t="s">
        <v>14</v>
      </c>
      <c r="B24" s="333">
        <v>0</v>
      </c>
    </row>
    <row r="25" spans="1:6">
      <c r="A25" s="1251" t="s">
        <v>15</v>
      </c>
      <c r="B25" s="333">
        <v>0</v>
      </c>
    </row>
    <row r="26" spans="1:6">
      <c r="A26" s="1251" t="s">
        <v>16</v>
      </c>
      <c r="B26" s="333">
        <v>0</v>
      </c>
    </row>
    <row r="27" spans="1:6">
      <c r="A27" s="1251" t="s">
        <v>17</v>
      </c>
      <c r="B27" s="333">
        <v>0</v>
      </c>
    </row>
    <row r="28" spans="1:6">
      <c r="A28" s="1251" t="s">
        <v>18</v>
      </c>
      <c r="B28" s="333">
        <v>10550</v>
      </c>
    </row>
    <row r="29" spans="1:6">
      <c r="A29" s="1251" t="s">
        <v>925</v>
      </c>
      <c r="B29" s="333">
        <v>44</v>
      </c>
    </row>
    <row r="30" spans="1:6">
      <c r="A30" s="1247" t="s">
        <v>926</v>
      </c>
      <c r="B30" s="1247">
        <v>2</v>
      </c>
      <c r="C30" s="336"/>
      <c r="D30" s="336"/>
      <c r="E30" s="336"/>
      <c r="F30" s="336"/>
    </row>
    <row r="31" spans="1:6" ht="15.75" thickBot="1">
      <c r="A31" s="337"/>
    </row>
    <row r="32" spans="1:6" ht="20.25" thickBot="1">
      <c r="A32" s="1244" t="s">
        <v>19</v>
      </c>
      <c r="B32" s="334" t="s">
        <v>397</v>
      </c>
      <c r="C32" s="334" t="s">
        <v>927</v>
      </c>
      <c r="D32" s="334"/>
      <c r="E32" s="334"/>
      <c r="F32" s="338"/>
    </row>
    <row r="33" spans="1:6" ht="16.5" thickTop="1" thickBot="1">
      <c r="A33" s="1252"/>
      <c r="B33" s="1253"/>
      <c r="C33" s="1253" t="s">
        <v>20</v>
      </c>
      <c r="D33" s="1253"/>
      <c r="E33" s="1253" t="s">
        <v>21</v>
      </c>
      <c r="F33" s="1254"/>
    </row>
    <row r="34" spans="1:6" ht="16.5" thickTop="1" thickBot="1">
      <c r="A34" s="1255" t="s">
        <v>22</v>
      </c>
      <c r="B34" s="1256" t="s">
        <v>23</v>
      </c>
      <c r="C34" s="1256" t="s">
        <v>5</v>
      </c>
      <c r="D34" s="1256" t="s">
        <v>24</v>
      </c>
      <c r="E34" s="1256" t="s">
        <v>5</v>
      </c>
      <c r="F34" s="1257" t="s">
        <v>24</v>
      </c>
    </row>
    <row r="35" spans="1:6">
      <c r="A35" s="1251" t="s">
        <v>25</v>
      </c>
      <c r="B35" s="1251" t="s">
        <v>26</v>
      </c>
      <c r="C35" s="333">
        <v>0</v>
      </c>
      <c r="D35" s="333">
        <v>0</v>
      </c>
      <c r="E35" s="333">
        <v>0</v>
      </c>
      <c r="F35" s="333">
        <v>0</v>
      </c>
    </row>
    <row r="36" spans="1:6">
      <c r="A36" s="1251" t="s">
        <v>25</v>
      </c>
      <c r="B36" s="1251" t="s">
        <v>27</v>
      </c>
      <c r="C36" s="333">
        <v>0</v>
      </c>
      <c r="D36" s="333">
        <v>0</v>
      </c>
      <c r="E36" s="333">
        <v>0</v>
      </c>
      <c r="F36" s="333">
        <v>0</v>
      </c>
    </row>
    <row r="37" spans="1:6">
      <c r="A37" s="1251" t="s">
        <v>25</v>
      </c>
      <c r="B37" s="1251" t="s">
        <v>28</v>
      </c>
      <c r="C37" s="333">
        <v>0</v>
      </c>
      <c r="D37" s="333">
        <v>0</v>
      </c>
      <c r="E37" s="333">
        <v>0</v>
      </c>
      <c r="F37" s="333">
        <v>0</v>
      </c>
    </row>
    <row r="38" spans="1:6">
      <c r="A38" s="1251" t="s">
        <v>25</v>
      </c>
      <c r="B38" s="1251" t="s">
        <v>29</v>
      </c>
      <c r="C38" s="333">
        <v>0</v>
      </c>
      <c r="D38" s="333">
        <v>0</v>
      </c>
      <c r="E38" s="333">
        <v>2</v>
      </c>
      <c r="F38" s="333">
        <v>53456.110853864498</v>
      </c>
    </row>
    <row r="39" spans="1:6">
      <c r="A39" s="1251" t="s">
        <v>30</v>
      </c>
      <c r="B39" s="1251" t="s">
        <v>31</v>
      </c>
      <c r="C39" s="333">
        <v>3955</v>
      </c>
      <c r="D39" s="333">
        <v>69464641.084243104</v>
      </c>
      <c r="E39" s="333">
        <v>5059</v>
      </c>
      <c r="F39" s="333">
        <v>22199657.605446398</v>
      </c>
    </row>
    <row r="40" spans="1:6">
      <c r="A40" s="1251" t="s">
        <v>30</v>
      </c>
      <c r="B40" s="1251" t="s">
        <v>29</v>
      </c>
      <c r="C40" s="333">
        <v>0</v>
      </c>
      <c r="D40" s="333">
        <v>0</v>
      </c>
      <c r="E40" s="333">
        <v>0</v>
      </c>
      <c r="F40" s="333">
        <v>0</v>
      </c>
    </row>
    <row r="41" spans="1:6">
      <c r="A41" s="1251" t="s">
        <v>32</v>
      </c>
      <c r="B41" s="1251" t="s">
        <v>33</v>
      </c>
      <c r="C41" s="333">
        <v>42</v>
      </c>
      <c r="D41" s="333">
        <v>1271393.36017121</v>
      </c>
      <c r="E41" s="333">
        <v>112</v>
      </c>
      <c r="F41" s="333">
        <v>1223516.17379128</v>
      </c>
    </row>
    <row r="42" spans="1:6">
      <c r="A42" s="1251" t="s">
        <v>32</v>
      </c>
      <c r="B42" s="1251" t="s">
        <v>34</v>
      </c>
      <c r="C42" s="333">
        <v>0</v>
      </c>
      <c r="D42" s="333">
        <v>0</v>
      </c>
      <c r="E42" s="333">
        <v>0</v>
      </c>
      <c r="F42" s="333">
        <v>0</v>
      </c>
    </row>
    <row r="43" spans="1:6">
      <c r="A43" s="1251" t="s">
        <v>32</v>
      </c>
      <c r="B43" s="1251" t="s">
        <v>35</v>
      </c>
      <c r="C43" s="333">
        <v>0</v>
      </c>
      <c r="D43" s="333">
        <v>0</v>
      </c>
      <c r="E43" s="333">
        <v>0</v>
      </c>
      <c r="F43" s="333">
        <v>0</v>
      </c>
    </row>
    <row r="44" spans="1:6">
      <c r="A44" s="1251" t="s">
        <v>32</v>
      </c>
      <c r="B44" s="1251" t="s">
        <v>36</v>
      </c>
      <c r="C44" s="333">
        <v>10</v>
      </c>
      <c r="D44" s="333">
        <v>34568288.277828701</v>
      </c>
      <c r="E44" s="333">
        <v>13</v>
      </c>
      <c r="F44" s="333">
        <v>948536.40483646002</v>
      </c>
    </row>
    <row r="45" spans="1:6">
      <c r="A45" s="1251" t="s">
        <v>32</v>
      </c>
      <c r="B45" s="1251" t="s">
        <v>37</v>
      </c>
      <c r="C45" s="333">
        <v>0</v>
      </c>
      <c r="D45" s="333">
        <v>0</v>
      </c>
      <c r="E45" s="333">
        <v>0</v>
      </c>
      <c r="F45" s="333">
        <v>0</v>
      </c>
    </row>
    <row r="46" spans="1:6">
      <c r="A46" s="1251" t="s">
        <v>32</v>
      </c>
      <c r="B46" s="1251" t="s">
        <v>38</v>
      </c>
      <c r="C46" s="333">
        <v>0</v>
      </c>
      <c r="D46" s="333">
        <v>0</v>
      </c>
      <c r="E46" s="333">
        <v>0</v>
      </c>
      <c r="F46" s="333">
        <v>0</v>
      </c>
    </row>
    <row r="47" spans="1:6">
      <c r="A47" s="1251" t="s">
        <v>32</v>
      </c>
      <c r="B47" s="1251" t="s">
        <v>39</v>
      </c>
      <c r="C47" s="333">
        <v>7</v>
      </c>
      <c r="D47" s="333">
        <v>4197283.5026532598</v>
      </c>
      <c r="E47" s="333">
        <v>10</v>
      </c>
      <c r="F47" s="333">
        <v>3360753.4148004502</v>
      </c>
    </row>
    <row r="48" spans="1:6">
      <c r="A48" s="1251" t="s">
        <v>32</v>
      </c>
      <c r="B48" s="1251" t="s">
        <v>29</v>
      </c>
      <c r="C48" s="333">
        <v>25</v>
      </c>
      <c r="D48" s="333">
        <v>2963422.8738234201</v>
      </c>
      <c r="E48" s="333">
        <v>34</v>
      </c>
      <c r="F48" s="333">
        <v>5553972.1747006401</v>
      </c>
    </row>
    <row r="49" spans="1:6">
      <c r="A49" s="1251" t="s">
        <v>32</v>
      </c>
      <c r="B49" s="1251" t="s">
        <v>40</v>
      </c>
      <c r="C49" s="333">
        <v>0</v>
      </c>
      <c r="D49" s="333">
        <v>0</v>
      </c>
      <c r="E49" s="333">
        <v>0</v>
      </c>
      <c r="F49" s="333">
        <v>0</v>
      </c>
    </row>
    <row r="50" spans="1:6">
      <c r="A50" s="1251" t="s">
        <v>32</v>
      </c>
      <c r="B50" s="1251" t="s">
        <v>41</v>
      </c>
      <c r="C50" s="333">
        <v>9</v>
      </c>
      <c r="D50" s="333">
        <v>22840891.560709201</v>
      </c>
      <c r="E50" s="333">
        <v>10</v>
      </c>
      <c r="F50" s="333">
        <v>19054377.716664299</v>
      </c>
    </row>
    <row r="51" spans="1:6">
      <c r="A51" s="1251" t="s">
        <v>42</v>
      </c>
      <c r="B51" s="1251" t="s">
        <v>43</v>
      </c>
      <c r="C51" s="333">
        <v>3</v>
      </c>
      <c r="D51" s="333">
        <v>2348630.4378538099</v>
      </c>
      <c r="E51" s="333">
        <v>21</v>
      </c>
      <c r="F51" s="333">
        <v>367592.37327440502</v>
      </c>
    </row>
    <row r="52" spans="1:6">
      <c r="A52" s="1251" t="s">
        <v>42</v>
      </c>
      <c r="B52" s="1251" t="s">
        <v>29</v>
      </c>
      <c r="C52" s="333">
        <v>5</v>
      </c>
      <c r="D52" s="333">
        <v>6294366.7823936502</v>
      </c>
      <c r="E52" s="333">
        <v>6</v>
      </c>
      <c r="F52" s="333">
        <v>109603.834665509</v>
      </c>
    </row>
    <row r="53" spans="1:6">
      <c r="A53" s="1251" t="s">
        <v>44</v>
      </c>
      <c r="B53" s="1251" t="s">
        <v>45</v>
      </c>
      <c r="C53" s="333">
        <v>128</v>
      </c>
      <c r="D53" s="333">
        <v>2452919.4659194401</v>
      </c>
      <c r="E53" s="333">
        <v>176</v>
      </c>
      <c r="F53" s="333">
        <v>962605.33298717905</v>
      </c>
    </row>
    <row r="54" spans="1:6">
      <c r="A54" s="1251" t="s">
        <v>46</v>
      </c>
      <c r="B54" s="1251" t="s">
        <v>47</v>
      </c>
      <c r="C54" s="333">
        <v>0</v>
      </c>
      <c r="D54" s="333">
        <v>0</v>
      </c>
      <c r="E54" s="333">
        <v>1</v>
      </c>
      <c r="F54" s="333">
        <v>889891</v>
      </c>
    </row>
    <row r="55" spans="1:6">
      <c r="A55" s="1251" t="s">
        <v>46</v>
      </c>
      <c r="B55" s="1251" t="s">
        <v>29</v>
      </c>
      <c r="C55" s="333">
        <v>0</v>
      </c>
      <c r="D55" s="333">
        <v>0</v>
      </c>
      <c r="E55" s="333">
        <v>0</v>
      </c>
      <c r="F55" s="333">
        <v>0</v>
      </c>
    </row>
    <row r="56" spans="1:6">
      <c r="A56" s="1251" t="s">
        <v>48</v>
      </c>
      <c r="B56" s="1251" t="s">
        <v>29</v>
      </c>
      <c r="C56" s="333">
        <v>0</v>
      </c>
      <c r="D56" s="333">
        <v>0</v>
      </c>
      <c r="E56" s="333">
        <v>0</v>
      </c>
      <c r="F56" s="333">
        <v>0</v>
      </c>
    </row>
    <row r="57" spans="1:6">
      <c r="A57" s="1251" t="s">
        <v>49</v>
      </c>
      <c r="B57" s="1251" t="s">
        <v>50</v>
      </c>
      <c r="C57" s="333">
        <v>23</v>
      </c>
      <c r="D57" s="333">
        <v>1356455.0311245399</v>
      </c>
      <c r="E57" s="333">
        <v>76</v>
      </c>
      <c r="F57" s="333">
        <v>2902304.95084514</v>
      </c>
    </row>
    <row r="58" spans="1:6">
      <c r="A58" s="1251" t="s">
        <v>49</v>
      </c>
      <c r="B58" s="1251" t="s">
        <v>51</v>
      </c>
      <c r="C58" s="333">
        <v>0</v>
      </c>
      <c r="D58" s="333">
        <v>0</v>
      </c>
      <c r="E58" s="333">
        <v>0</v>
      </c>
      <c r="F58" s="333">
        <v>0</v>
      </c>
    </row>
    <row r="59" spans="1:6">
      <c r="A59" s="1251" t="s">
        <v>49</v>
      </c>
      <c r="B59" s="1251" t="s">
        <v>52</v>
      </c>
      <c r="C59" s="333">
        <v>141</v>
      </c>
      <c r="D59" s="333">
        <v>11104321.0132815</v>
      </c>
      <c r="E59" s="333">
        <v>265</v>
      </c>
      <c r="F59" s="333">
        <v>15450439.416233599</v>
      </c>
    </row>
    <row r="60" spans="1:6">
      <c r="A60" s="1251" t="s">
        <v>49</v>
      </c>
      <c r="B60" s="1251" t="s">
        <v>53</v>
      </c>
      <c r="C60" s="333">
        <v>28</v>
      </c>
      <c r="D60" s="333">
        <v>1696757.53684358</v>
      </c>
      <c r="E60" s="333">
        <v>32</v>
      </c>
      <c r="F60" s="333">
        <v>897857.62910537596</v>
      </c>
    </row>
    <row r="61" spans="1:6">
      <c r="A61" s="1251" t="s">
        <v>49</v>
      </c>
      <c r="B61" s="1251" t="s">
        <v>54</v>
      </c>
      <c r="C61" s="333">
        <v>100</v>
      </c>
      <c r="D61" s="333">
        <v>6965118.3753123702</v>
      </c>
      <c r="E61" s="333">
        <v>226</v>
      </c>
      <c r="F61" s="333">
        <v>4249857.4246150497</v>
      </c>
    </row>
    <row r="62" spans="1:6">
      <c r="A62" s="1251" t="s">
        <v>49</v>
      </c>
      <c r="B62" s="1251" t="s">
        <v>55</v>
      </c>
      <c r="C62" s="333">
        <v>3</v>
      </c>
      <c r="D62" s="333">
        <v>885251.451536646</v>
      </c>
      <c r="E62" s="333">
        <v>3</v>
      </c>
      <c r="F62" s="333">
        <v>106743.12329075301</v>
      </c>
    </row>
    <row r="63" spans="1:6">
      <c r="A63" s="1251" t="s">
        <v>49</v>
      </c>
      <c r="B63" s="1251" t="s">
        <v>29</v>
      </c>
      <c r="C63" s="333">
        <v>101</v>
      </c>
      <c r="D63" s="333">
        <v>16278197.328397101</v>
      </c>
      <c r="E63" s="333">
        <v>116</v>
      </c>
      <c r="F63" s="333">
        <v>7788662.5184761602</v>
      </c>
    </row>
    <row r="64" spans="1:6">
      <c r="A64" s="1251" t="s">
        <v>56</v>
      </c>
      <c r="B64" s="1251" t="s">
        <v>57</v>
      </c>
      <c r="C64" s="333">
        <v>0</v>
      </c>
      <c r="D64" s="333">
        <v>0</v>
      </c>
      <c r="E64" s="333">
        <v>0</v>
      </c>
      <c r="F64" s="333">
        <v>0</v>
      </c>
    </row>
    <row r="65" spans="1:6">
      <c r="A65" s="1251" t="s">
        <v>56</v>
      </c>
      <c r="B65" s="1251" t="s">
        <v>29</v>
      </c>
      <c r="C65" s="333">
        <v>1</v>
      </c>
      <c r="D65" s="333">
        <v>25098.6270734602</v>
      </c>
      <c r="E65" s="333">
        <v>1</v>
      </c>
      <c r="F65" s="333">
        <v>15</v>
      </c>
    </row>
    <row r="66" spans="1:6">
      <c r="A66" s="1251" t="s">
        <v>56</v>
      </c>
      <c r="B66" s="1251" t="s">
        <v>58</v>
      </c>
      <c r="C66" s="333">
        <v>0</v>
      </c>
      <c r="D66" s="333">
        <v>0</v>
      </c>
      <c r="E66" s="333">
        <v>0</v>
      </c>
      <c r="F66" s="333">
        <v>0</v>
      </c>
    </row>
    <row r="67" spans="1:6">
      <c r="A67" s="1258" t="s">
        <v>56</v>
      </c>
      <c r="B67" s="1258" t="s">
        <v>59</v>
      </c>
      <c r="C67" s="333">
        <v>0</v>
      </c>
      <c r="D67" s="333">
        <v>0</v>
      </c>
      <c r="E67" s="333">
        <v>0</v>
      </c>
      <c r="F67" s="333">
        <v>0</v>
      </c>
    </row>
    <row r="68" spans="1:6">
      <c r="A68" s="1247" t="s">
        <v>56</v>
      </c>
      <c r="B68" s="1247" t="s">
        <v>60</v>
      </c>
      <c r="C68" s="333">
        <v>7</v>
      </c>
      <c r="D68" s="333">
        <v>1004863.8434806</v>
      </c>
      <c r="E68" s="333">
        <v>20</v>
      </c>
      <c r="F68" s="333">
        <v>756232.714902343</v>
      </c>
    </row>
    <row r="69" spans="1:6" ht="15.75" thickBot="1">
      <c r="A69" s="337"/>
    </row>
    <row r="70" spans="1:6" ht="19.5">
      <c r="A70" s="1244" t="s">
        <v>61</v>
      </c>
      <c r="B70" s="334"/>
      <c r="C70" s="334" t="s">
        <v>928</v>
      </c>
      <c r="D70" s="334" t="s">
        <v>817</v>
      </c>
      <c r="E70" s="334"/>
      <c r="F70" s="338"/>
    </row>
    <row r="71" spans="1:6" ht="20.25" thickBot="1">
      <c r="A71" s="1259"/>
      <c r="B71" s="340"/>
      <c r="C71" s="340"/>
      <c r="D71" s="341" t="s">
        <v>451</v>
      </c>
      <c r="E71" s="340"/>
      <c r="F71" s="342"/>
    </row>
    <row r="72" spans="1:6" ht="16.5" thickTop="1" thickBot="1">
      <c r="A72" s="1248" t="s">
        <v>62</v>
      </c>
      <c r="B72" s="1249" t="s">
        <v>63</v>
      </c>
      <c r="C72" s="1260" t="s">
        <v>772</v>
      </c>
      <c r="D72" s="1261">
        <v>2011</v>
      </c>
      <c r="E72" s="1261">
        <v>2020</v>
      </c>
      <c r="F72" s="1250">
        <v>2014</v>
      </c>
    </row>
    <row r="73" spans="1:6">
      <c r="A73" s="1251" t="s">
        <v>64</v>
      </c>
      <c r="B73" s="1251" t="s">
        <v>773</v>
      </c>
      <c r="C73" s="1262" t="s">
        <v>774</v>
      </c>
      <c r="D73" s="333">
        <v>38262735</v>
      </c>
      <c r="E73" s="333">
        <v>31715439.356178004</v>
      </c>
      <c r="F73" s="333">
        <v>36658899</v>
      </c>
    </row>
    <row r="74" spans="1:6">
      <c r="A74" s="1251" t="s">
        <v>64</v>
      </c>
      <c r="B74" s="1251" t="s">
        <v>775</v>
      </c>
      <c r="C74" s="1262" t="s">
        <v>776</v>
      </c>
      <c r="D74" s="333">
        <v>3637223.5304495427</v>
      </c>
      <c r="E74" s="333">
        <v>3257475.537645312</v>
      </c>
      <c r="F74" s="333">
        <v>3628840.6870271186</v>
      </c>
    </row>
    <row r="75" spans="1:6">
      <c r="A75" s="1251" t="s">
        <v>65</v>
      </c>
      <c r="B75" s="1251" t="s">
        <v>773</v>
      </c>
      <c r="C75" s="1262" t="s">
        <v>777</v>
      </c>
      <c r="D75" s="333">
        <v>12594124</v>
      </c>
      <c r="E75" s="333">
        <v>10176107.656212844</v>
      </c>
      <c r="F75" s="333">
        <v>11993147</v>
      </c>
    </row>
    <row r="76" spans="1:6">
      <c r="A76" s="1251" t="s">
        <v>65</v>
      </c>
      <c r="B76" s="1251" t="s">
        <v>775</v>
      </c>
      <c r="C76" s="1262" t="s">
        <v>778</v>
      </c>
      <c r="D76" s="333">
        <v>1258006.5304495427</v>
      </c>
      <c r="E76" s="333">
        <v>1139576.7311457361</v>
      </c>
      <c r="F76" s="333">
        <v>1313163.6870271186</v>
      </c>
    </row>
    <row r="77" spans="1:6">
      <c r="A77" s="1251" t="s">
        <v>66</v>
      </c>
      <c r="B77" s="1251" t="s">
        <v>773</v>
      </c>
      <c r="C77" s="1262" t="s">
        <v>779</v>
      </c>
      <c r="D77" s="333">
        <v>165633342</v>
      </c>
      <c r="E77" s="333">
        <v>177685798.9325479</v>
      </c>
      <c r="F77" s="333">
        <v>167859229</v>
      </c>
    </row>
    <row r="78" spans="1:6">
      <c r="A78" s="1247" t="s">
        <v>66</v>
      </c>
      <c r="B78" s="1247" t="s">
        <v>775</v>
      </c>
      <c r="C78" s="1247" t="s">
        <v>780</v>
      </c>
      <c r="D78" s="1247">
        <v>35608493</v>
      </c>
      <c r="E78" s="1247">
        <v>38421277.023954362</v>
      </c>
      <c r="F78" s="336">
        <v>37008202</v>
      </c>
    </row>
    <row r="79" spans="1:6">
      <c r="A79" s="1263"/>
      <c r="B79" s="1263"/>
    </row>
    <row r="80" spans="1:6" ht="15.75" thickBot="1">
      <c r="A80" s="1263"/>
      <c r="B80" s="1263"/>
    </row>
    <row r="81" spans="1:6" ht="20.25" thickBot="1">
      <c r="A81" s="1244" t="s">
        <v>335</v>
      </c>
      <c r="B81" s="1264" t="s">
        <v>397</v>
      </c>
      <c r="C81" s="334" t="s">
        <v>828</v>
      </c>
      <c r="D81" s="334"/>
      <c r="E81" s="334"/>
      <c r="F81" s="338"/>
    </row>
    <row r="82" spans="1:6" ht="16.5" thickTop="1" thickBot="1">
      <c r="A82" s="1248" t="s">
        <v>336</v>
      </c>
      <c r="B82" s="1261">
        <v>2011</v>
      </c>
      <c r="C82" s="1261">
        <v>2020</v>
      </c>
      <c r="D82" s="1249">
        <v>2014</v>
      </c>
      <c r="E82" s="1249"/>
      <c r="F82" s="1250"/>
    </row>
    <row r="83" spans="1:6">
      <c r="A83" s="1251" t="s">
        <v>337</v>
      </c>
      <c r="B83" s="333">
        <v>695146.93910091487</v>
      </c>
      <c r="C83" s="333">
        <v>640809.00257586548</v>
      </c>
      <c r="D83" s="333">
        <v>648152.62594576285</v>
      </c>
    </row>
    <row r="84" spans="1:6">
      <c r="A84" s="1247" t="s">
        <v>338</v>
      </c>
      <c r="B84" s="336">
        <v>0</v>
      </c>
      <c r="C84" s="336">
        <v>0</v>
      </c>
      <c r="D84" s="336">
        <v>0</v>
      </c>
      <c r="E84" s="336"/>
      <c r="F84" s="336"/>
    </row>
    <row r="85" spans="1:6">
      <c r="A85" s="1263"/>
      <c r="B85" s="1265"/>
    </row>
    <row r="86" spans="1:6" ht="15.75" thickBot="1">
      <c r="A86" s="337"/>
    </row>
    <row r="87" spans="1:6" ht="20.25" thickBot="1">
      <c r="A87" s="1244" t="s">
        <v>67</v>
      </c>
      <c r="B87" s="334" t="s">
        <v>397</v>
      </c>
      <c r="C87" s="334" t="s">
        <v>929</v>
      </c>
      <c r="D87" s="334"/>
      <c r="E87" s="334"/>
      <c r="F87" s="338"/>
    </row>
    <row r="88" spans="1:6" ht="16.5" thickTop="1" thickBot="1">
      <c r="A88" s="1248" t="s">
        <v>4</v>
      </c>
      <c r="B88" s="1249" t="s">
        <v>171</v>
      </c>
      <c r="C88" s="1249"/>
      <c r="D88" s="1249"/>
      <c r="E88" s="1249"/>
      <c r="F88" s="1250"/>
    </row>
    <row r="89" spans="1:6">
      <c r="A89" s="1251" t="s">
        <v>561</v>
      </c>
      <c r="B89" s="333">
        <v>0</v>
      </c>
    </row>
    <row r="90" spans="1:6">
      <c r="A90" s="1251" t="s">
        <v>562</v>
      </c>
      <c r="B90" s="949">
        <v>0</v>
      </c>
    </row>
    <row r="91" spans="1:6">
      <c r="A91" s="1251" t="s">
        <v>68</v>
      </c>
      <c r="B91" s="333">
        <v>1055.794124891451</v>
      </c>
    </row>
    <row r="92" spans="1:6">
      <c r="A92" s="1247" t="s">
        <v>69</v>
      </c>
      <c r="B92" s="336">
        <v>1279.7271029518365</v>
      </c>
      <c r="C92" s="336"/>
      <c r="D92" s="336"/>
      <c r="E92" s="336"/>
      <c r="F92" s="336"/>
    </row>
    <row r="93" spans="1:6">
      <c r="A93" s="337"/>
    </row>
    <row r="94" spans="1:6" ht="15.75" thickBot="1">
      <c r="A94" s="337"/>
    </row>
    <row r="95" spans="1:6" ht="20.25" thickBot="1">
      <c r="A95" s="1244" t="s">
        <v>70</v>
      </c>
      <c r="B95" s="334" t="s">
        <v>397</v>
      </c>
      <c r="C95" s="334" t="s">
        <v>415</v>
      </c>
      <c r="D95" s="334"/>
      <c r="E95" s="334"/>
      <c r="F95" s="338"/>
    </row>
    <row r="96" spans="1:6" ht="16.5" thickTop="1" thickBot="1">
      <c r="A96" s="1248" t="s">
        <v>4</v>
      </c>
      <c r="B96" s="1249" t="s">
        <v>5</v>
      </c>
      <c r="C96" s="1249"/>
      <c r="D96" s="1249"/>
      <c r="E96" s="1249"/>
      <c r="F96" s="1250"/>
    </row>
    <row r="97" spans="1:6">
      <c r="A97" s="1251" t="s">
        <v>71</v>
      </c>
      <c r="B97" s="333">
        <v>3049</v>
      </c>
    </row>
    <row r="98" spans="1:6">
      <c r="A98" s="1251" t="s">
        <v>72</v>
      </c>
      <c r="B98" s="333">
        <v>2</v>
      </c>
    </row>
    <row r="99" spans="1:6">
      <c r="A99" s="1251" t="s">
        <v>73</v>
      </c>
      <c r="B99" s="333">
        <v>32</v>
      </c>
    </row>
    <row r="100" spans="1:6">
      <c r="A100" s="1251" t="s">
        <v>74</v>
      </c>
      <c r="B100" s="333">
        <v>376</v>
      </c>
    </row>
    <row r="101" spans="1:6">
      <c r="A101" s="1251" t="s">
        <v>75</v>
      </c>
      <c r="B101" s="333">
        <v>46</v>
      </c>
    </row>
    <row r="102" spans="1:6">
      <c r="A102" s="1251" t="s">
        <v>76</v>
      </c>
      <c r="B102" s="333">
        <v>41</v>
      </c>
    </row>
    <row r="103" spans="1:6">
      <c r="A103" s="1251" t="s">
        <v>77</v>
      </c>
      <c r="B103" s="333">
        <v>57</v>
      </c>
    </row>
    <row r="104" spans="1:6">
      <c r="A104" s="1251" t="s">
        <v>78</v>
      </c>
      <c r="B104" s="333">
        <v>856</v>
      </c>
    </row>
    <row r="105" spans="1:6">
      <c r="A105" s="1247" t="s">
        <v>79</v>
      </c>
      <c r="B105" s="1247">
        <v>1</v>
      </c>
      <c r="C105" s="336"/>
      <c r="D105" s="336"/>
      <c r="E105" s="336"/>
      <c r="F105" s="336"/>
    </row>
    <row r="106" spans="1:6">
      <c r="A106" s="337"/>
    </row>
    <row r="107" spans="1:6" ht="15.75" thickBot="1">
      <c r="A107" s="337"/>
    </row>
    <row r="108" spans="1:6" ht="20.25" thickBot="1">
      <c r="A108" s="1244" t="s">
        <v>669</v>
      </c>
      <c r="B108" s="334" t="s">
        <v>397</v>
      </c>
      <c r="C108" s="334" t="s">
        <v>412</v>
      </c>
      <c r="D108" s="334"/>
      <c r="E108" s="334"/>
      <c r="F108" s="338"/>
    </row>
    <row r="109" spans="1:6" ht="16.5" thickTop="1" thickBot="1">
      <c r="A109" s="1248" t="s">
        <v>4</v>
      </c>
      <c r="B109" s="1249" t="s">
        <v>5</v>
      </c>
      <c r="C109" s="1249"/>
      <c r="D109" s="1249"/>
      <c r="E109" s="1249"/>
      <c r="F109" s="1250"/>
    </row>
    <row r="110" spans="1:6">
      <c r="A110" s="387" t="s">
        <v>670</v>
      </c>
      <c r="B110" s="333">
        <v>0</v>
      </c>
    </row>
    <row r="111" spans="1:6">
      <c r="A111" s="1247" t="s">
        <v>671</v>
      </c>
      <c r="B111" s="1247">
        <v>0</v>
      </c>
      <c r="C111" s="1247"/>
      <c r="D111" s="1247"/>
      <c r="E111" s="1247"/>
      <c r="F111" s="1247"/>
    </row>
    <row r="112" spans="1:6">
      <c r="A112" s="337"/>
    </row>
    <row r="113" spans="1:6" ht="15.75" thickBot="1">
      <c r="A113" s="337"/>
    </row>
    <row r="114" spans="1:6" ht="20.25" thickBot="1">
      <c r="A114" s="1244" t="s">
        <v>80</v>
      </c>
      <c r="B114" s="334" t="s">
        <v>397</v>
      </c>
      <c r="C114" s="334" t="s">
        <v>930</v>
      </c>
      <c r="D114" s="334"/>
      <c r="E114" s="334"/>
      <c r="F114" s="338"/>
    </row>
    <row r="115" spans="1:6" ht="16.5" thickTop="1" thickBot="1">
      <c r="A115" s="343"/>
      <c r="B115" s="344" t="s">
        <v>81</v>
      </c>
      <c r="C115" s="344" t="s">
        <v>82</v>
      </c>
      <c r="D115" s="344"/>
      <c r="E115" s="344"/>
      <c r="F115" s="345"/>
    </row>
    <row r="116" spans="1:6" ht="16.5" thickTop="1" thickBot="1">
      <c r="A116" s="1248" t="s">
        <v>4</v>
      </c>
      <c r="B116" s="1249" t="s">
        <v>5</v>
      </c>
      <c r="C116" s="1249" t="s">
        <v>5</v>
      </c>
      <c r="D116" s="1249"/>
      <c r="E116" s="1249"/>
      <c r="F116" s="1250"/>
    </row>
    <row r="117" spans="1:6">
      <c r="A117" s="1251" t="s">
        <v>83</v>
      </c>
      <c r="B117" s="333">
        <v>0</v>
      </c>
      <c r="C117" s="333">
        <v>0</v>
      </c>
    </row>
    <row r="118" spans="1:6">
      <c r="A118" s="1251" t="s">
        <v>84</v>
      </c>
      <c r="B118" s="333">
        <v>0</v>
      </c>
      <c r="C118" s="333">
        <v>0</v>
      </c>
    </row>
    <row r="119" spans="1:6">
      <c r="A119" s="1251" t="s">
        <v>32</v>
      </c>
      <c r="B119" s="333">
        <v>0</v>
      </c>
      <c r="C119" s="333">
        <v>0</v>
      </c>
    </row>
    <row r="120" spans="1:6">
      <c r="A120" s="1251" t="s">
        <v>85</v>
      </c>
      <c r="B120" s="333">
        <v>0</v>
      </c>
      <c r="C120" s="333">
        <v>0</v>
      </c>
    </row>
    <row r="121" spans="1:6">
      <c r="A121" s="1251" t="s">
        <v>86</v>
      </c>
      <c r="B121" s="333">
        <v>0</v>
      </c>
      <c r="C121" s="333">
        <v>0</v>
      </c>
    </row>
    <row r="122" spans="1:6">
      <c r="A122" s="1251" t="s">
        <v>87</v>
      </c>
      <c r="B122" s="333">
        <v>0</v>
      </c>
      <c r="C122" s="333">
        <v>0</v>
      </c>
    </row>
    <row r="123" spans="1:6">
      <c r="A123" s="1251" t="s">
        <v>88</v>
      </c>
      <c r="B123" s="333">
        <v>4</v>
      </c>
      <c r="C123" s="333">
        <v>5</v>
      </c>
    </row>
    <row r="124" spans="1:6">
      <c r="A124" s="1247" t="s">
        <v>89</v>
      </c>
      <c r="B124" s="333">
        <v>0</v>
      </c>
      <c r="C124" s="333">
        <v>0</v>
      </c>
      <c r="D124" s="336"/>
      <c r="E124" s="336"/>
      <c r="F124" s="336"/>
    </row>
    <row r="125" spans="1:6">
      <c r="A125" s="1263"/>
    </row>
    <row r="126" spans="1:6" ht="15.75" thickBot="1">
      <c r="A126" s="1263"/>
    </row>
    <row r="127" spans="1:6" ht="20.25" thickBot="1">
      <c r="A127" s="1244" t="s">
        <v>294</v>
      </c>
      <c r="B127" s="334" t="s">
        <v>397</v>
      </c>
      <c r="C127" s="334" t="s">
        <v>412</v>
      </c>
      <c r="D127" s="334"/>
      <c r="E127" s="334"/>
      <c r="F127" s="338"/>
    </row>
    <row r="128" spans="1:6" ht="16.5" thickTop="1" thickBot="1">
      <c r="A128" s="1248" t="s">
        <v>4</v>
      </c>
      <c r="B128" s="1249" t="s">
        <v>5</v>
      </c>
      <c r="C128" s="1249"/>
      <c r="D128" s="1249"/>
      <c r="E128" s="1249"/>
      <c r="F128" s="1250"/>
    </row>
    <row r="129" spans="1:6">
      <c r="A129" s="1251" t="s">
        <v>295</v>
      </c>
      <c r="B129" s="333">
        <v>53</v>
      </c>
    </row>
    <row r="130" spans="1:6">
      <c r="A130" s="1251" t="s">
        <v>296</v>
      </c>
      <c r="B130" s="333">
        <v>0</v>
      </c>
    </row>
    <row r="131" spans="1:6">
      <c r="A131" s="1251" t="s">
        <v>297</v>
      </c>
      <c r="B131" s="333">
        <v>1</v>
      </c>
    </row>
    <row r="132" spans="1:6">
      <c r="A132" s="1247" t="s">
        <v>298</v>
      </c>
      <c r="B132" s="336">
        <v>2</v>
      </c>
      <c r="C132" s="336"/>
      <c r="D132" s="336"/>
      <c r="E132" s="336"/>
      <c r="F132" s="336"/>
    </row>
    <row r="134" spans="1:6">
      <c r="A134" s="1265"/>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105052.28834953209</v>
      </c>
      <c r="C3" s="43" t="s">
        <v>171</v>
      </c>
      <c r="D3" s="43"/>
      <c r="E3" s="156"/>
      <c r="F3" s="43"/>
      <c r="G3" s="43"/>
      <c r="H3" s="43"/>
      <c r="I3" s="43"/>
      <c r="J3" s="43"/>
      <c r="K3" s="96"/>
    </row>
    <row r="4" spans="1:11">
      <c r="A4" s="364" t="s">
        <v>172</v>
      </c>
      <c r="B4" s="49">
        <f>IF(ISERROR('SEAP template'!B69),0,'SEAP template'!B69)</f>
        <v>26389.521227843288</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853</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5716.3623529411771</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0.21989843581486626</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8166.2319327731111</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34362.857142857145</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0.23764705882352946</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46">
        <v>2011</v>
      </c>
      <c r="B1" s="114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48"/>
      <c r="B2" s="114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48"/>
      <c r="B3" s="114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50"/>
      <c r="B4" s="115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52" t="s">
        <v>480</v>
      </c>
      <c r="B2" s="1153"/>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54" t="s">
        <v>195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889.89099999999996</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889.89099999999996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0.21989843581486626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195.68563894572713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54" t="s">
        <v>155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22199.657605446399</v>
      </c>
      <c r="C5" s="17">
        <f>IF(ISERROR('Eigen informatie GS &amp; warmtenet'!B57),0,'Eigen informatie GS &amp; warmtenet'!B57)</f>
        <v>0</v>
      </c>
      <c r="D5" s="30">
        <f>(SUM(HH_hh_gas_kWh,HH_rest_gas_kWh)/1000)*0.902</f>
        <v>62657.106257987281</v>
      </c>
      <c r="E5" s="17">
        <f>B46*B57</f>
        <v>1454.1949275838683</v>
      </c>
      <c r="F5" s="17">
        <f>B51*B62</f>
        <v>0</v>
      </c>
      <c r="G5" s="18"/>
      <c r="H5" s="17"/>
      <c r="I5" s="17"/>
      <c r="J5" s="17">
        <f>B50*B61+C50*C61</f>
        <v>0</v>
      </c>
      <c r="K5" s="17"/>
      <c r="L5" s="17"/>
      <c r="M5" s="17"/>
      <c r="N5" s="17">
        <f>B48*B59+C48*C59</f>
        <v>6048.2589911010791</v>
      </c>
      <c r="O5" s="17">
        <f>B69*B70*B71</f>
        <v>90.673333333333346</v>
      </c>
      <c r="P5" s="17">
        <f>B77*B78*B79/1000-B77*B78*B79/1000/B80</f>
        <v>114.4</v>
      </c>
    </row>
    <row r="6" spans="1:16">
      <c r="A6" s="16" t="s">
        <v>633</v>
      </c>
      <c r="B6" s="830">
        <f>kWh_PV_kleiner_dan_10kW</f>
        <v>1055.794124891451</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23255.451730337849</v>
      </c>
      <c r="C8" s="21">
        <f>C5</f>
        <v>0</v>
      </c>
      <c r="D8" s="21">
        <f>D5</f>
        <v>62657.106257987281</v>
      </c>
      <c r="E8" s="21">
        <f>E5</f>
        <v>1454.1949275838683</v>
      </c>
      <c r="F8" s="21">
        <f>F5</f>
        <v>0</v>
      </c>
      <c r="G8" s="21"/>
      <c r="H8" s="21"/>
      <c r="I8" s="21"/>
      <c r="J8" s="21">
        <f>J5</f>
        <v>0</v>
      </c>
      <c r="K8" s="21"/>
      <c r="L8" s="21">
        <f>L5</f>
        <v>0</v>
      </c>
      <c r="M8" s="21">
        <f>M5</f>
        <v>0</v>
      </c>
      <c r="N8" s="21">
        <f>N5</f>
        <v>6048.2589911010791</v>
      </c>
      <c r="O8" s="21">
        <f>O5</f>
        <v>90.673333333333346</v>
      </c>
      <c r="P8" s="21">
        <f>P5</f>
        <v>114.4</v>
      </c>
    </row>
    <row r="9" spans="1:16">
      <c r="B9" s="19"/>
      <c r="C9" s="19"/>
      <c r="D9" s="260"/>
      <c r="E9" s="19"/>
      <c r="F9" s="19"/>
      <c r="G9" s="19"/>
      <c r="H9" s="19"/>
      <c r="I9" s="19"/>
      <c r="J9" s="19"/>
      <c r="K9" s="19"/>
      <c r="L9" s="19"/>
      <c r="M9" s="19"/>
      <c r="N9" s="19"/>
      <c r="O9" s="19"/>
      <c r="P9" s="19"/>
    </row>
    <row r="10" spans="1:16">
      <c r="A10" s="24" t="s">
        <v>215</v>
      </c>
      <c r="B10" s="25">
        <f ca="1">'EF ele_warmte'!B12</f>
        <v>0.21989843581486626</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5113.8374596694184</v>
      </c>
      <c r="C12" s="23">
        <f ca="1">C10*C8</f>
        <v>0</v>
      </c>
      <c r="D12" s="23">
        <f>D8*D10</f>
        <v>12656.735464113432</v>
      </c>
      <c r="E12" s="23">
        <f>E10*E8</f>
        <v>330.10224856153815</v>
      </c>
      <c r="F12" s="23">
        <f>F10*F8</f>
        <v>0</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3049</v>
      </c>
      <c r="C18" s="167" t="s">
        <v>111</v>
      </c>
      <c r="D18" s="229"/>
      <c r="E18" s="15"/>
    </row>
    <row r="19" spans="1:7">
      <c r="A19" s="172" t="s">
        <v>72</v>
      </c>
      <c r="B19" s="37">
        <f>aantalw2001_ander</f>
        <v>2</v>
      </c>
      <c r="C19" s="167" t="s">
        <v>111</v>
      </c>
      <c r="D19" s="230"/>
      <c r="E19" s="15"/>
    </row>
    <row r="20" spans="1:7">
      <c r="A20" s="172" t="s">
        <v>73</v>
      </c>
      <c r="B20" s="37">
        <f>aantalw2001_propaan</f>
        <v>32</v>
      </c>
      <c r="C20" s="168">
        <f>IF(ISERROR(B20/SUM($B$20,$B$21,$B$22)*100),0,B20/SUM($B$20,$B$21,$B$22)*100)</f>
        <v>7.0484581497797363</v>
      </c>
      <c r="D20" s="230"/>
      <c r="E20" s="15"/>
    </row>
    <row r="21" spans="1:7">
      <c r="A21" s="172" t="s">
        <v>74</v>
      </c>
      <c r="B21" s="37">
        <f>aantalw2001_elektriciteit</f>
        <v>376</v>
      </c>
      <c r="C21" s="168">
        <f>IF(ISERROR(B21/SUM($B$20,$B$21,$B$22)*100),0,B21/SUM($B$20,$B$21,$B$22)*100)</f>
        <v>82.819383259911888</v>
      </c>
      <c r="D21" s="230"/>
      <c r="E21" s="15"/>
    </row>
    <row r="22" spans="1:7">
      <c r="A22" s="172" t="s">
        <v>75</v>
      </c>
      <c r="B22" s="37">
        <f>aantalw2001_hout</f>
        <v>46</v>
      </c>
      <c r="C22" s="168">
        <f>IF(ISERROR(B22/SUM($B$20,$B$21,$B$22)*100),0,B22/SUM($B$20,$B$21,$B$22)*100)</f>
        <v>10.13215859030837</v>
      </c>
      <c r="D22" s="230"/>
      <c r="E22" s="15"/>
    </row>
    <row r="23" spans="1:7">
      <c r="A23" s="172" t="s">
        <v>76</v>
      </c>
      <c r="B23" s="37">
        <f>aantalw2001_niet_gespec</f>
        <v>41</v>
      </c>
      <c r="C23" s="167" t="s">
        <v>111</v>
      </c>
      <c r="D23" s="229"/>
      <c r="E23" s="15"/>
    </row>
    <row r="24" spans="1:7">
      <c r="A24" s="172" t="s">
        <v>77</v>
      </c>
      <c r="B24" s="37">
        <f>aantalw2001_steenkool</f>
        <v>57</v>
      </c>
      <c r="C24" s="167" t="s">
        <v>111</v>
      </c>
      <c r="D24" s="230"/>
      <c r="E24" s="15"/>
    </row>
    <row r="25" spans="1:7">
      <c r="A25" s="172" t="s">
        <v>78</v>
      </c>
      <c r="B25" s="37">
        <f>aantalw2001_stookolie</f>
        <v>856</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713</v>
      </c>
      <c r="B28" s="37">
        <f>aantalHuishoudens2011</f>
        <v>4964</v>
      </c>
      <c r="C28" s="36"/>
      <c r="D28" s="229"/>
    </row>
    <row r="29" spans="1:7" s="15" customFormat="1">
      <c r="A29" s="231" t="s">
        <v>714</v>
      </c>
      <c r="B29" s="37">
        <f>SUM(HH_hh_gas_aantal,HH_rest_gas_aantal)</f>
        <v>3955</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3955</v>
      </c>
      <c r="C32" s="168">
        <f>IF(ISERROR(B32/SUM($B$32,$B$34,$B$35,$B$36,$B$38,$B$39)*100),0,B32/SUM($B$32,$B$34,$B$35,$B$36,$B$38,$B$39)*100)</f>
        <v>79.770068576038724</v>
      </c>
      <c r="D32" s="234"/>
      <c r="G32" s="15"/>
    </row>
    <row r="33" spans="1:7">
      <c r="A33" s="172" t="s">
        <v>72</v>
      </c>
      <c r="B33" s="34" t="s">
        <v>111</v>
      </c>
      <c r="C33" s="168"/>
      <c r="D33" s="234"/>
      <c r="G33" s="15"/>
    </row>
    <row r="34" spans="1:7">
      <c r="A34" s="172" t="s">
        <v>73</v>
      </c>
      <c r="B34" s="33">
        <f>IF((($B$28-$B$32-$B$39-$B$77-$B$38)*C20/100)&lt;0,0,($B$28-$B$32-$B$39-$B$77-$B$38)*C20/100)</f>
        <v>70.696035242290748</v>
      </c>
      <c r="C34" s="168">
        <f>IF(ISERROR(B34/SUM($B$32,$B$34,$B$35,$B$36,$B$38,$B$39)*100),0,B34/SUM($B$32,$B$34,$B$35,$B$36,$B$38,$B$39)*100)</f>
        <v>1.4258982501470503</v>
      </c>
      <c r="D34" s="234"/>
      <c r="G34" s="15"/>
    </row>
    <row r="35" spans="1:7">
      <c r="A35" s="172" t="s">
        <v>74</v>
      </c>
      <c r="B35" s="33">
        <f>IF((($B$28-$B$32-$B$39-$B$77-$B$38)*C21/100)&lt;0,0,($B$28-$B$32-$B$39-$B$77-$B$38)*C21/100)</f>
        <v>830.67841409691619</v>
      </c>
      <c r="C35" s="168">
        <f>IF(ISERROR(B35/SUM($B$32,$B$34,$B$35,$B$36,$B$38,$B$39)*100),0,B35/SUM($B$32,$B$34,$B$35,$B$36,$B$38,$B$39)*100)</f>
        <v>16.754304439227838</v>
      </c>
      <c r="D35" s="234"/>
      <c r="G35" s="15"/>
    </row>
    <row r="36" spans="1:7">
      <c r="A36" s="172" t="s">
        <v>75</v>
      </c>
      <c r="B36" s="33">
        <f>IF((($B$28-$B$32-$B$39-$B$77-$B$38)*C22/100)&lt;0,0,($B$28-$B$32-$B$39-$B$77-$B$38)*C22/100)</f>
        <v>101.62555066079294</v>
      </c>
      <c r="C36" s="168">
        <f>IF(ISERROR(B36/SUM($B$32,$B$34,$B$35,$B$36,$B$38,$B$39)*100),0,B36/SUM($B$32,$B$34,$B$35,$B$36,$B$38,$B$39)*100)</f>
        <v>2.0497287345863846</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3955</v>
      </c>
      <c r="C44" s="34" t="s">
        <v>111</v>
      </c>
      <c r="D44" s="175"/>
    </row>
    <row r="45" spans="1:7">
      <c r="A45" s="172" t="s">
        <v>72</v>
      </c>
      <c r="B45" s="33" t="str">
        <f t="shared" si="0"/>
        <v>-</v>
      </c>
      <c r="C45" s="34" t="s">
        <v>111</v>
      </c>
      <c r="D45" s="175"/>
    </row>
    <row r="46" spans="1:7">
      <c r="A46" s="172" t="s">
        <v>73</v>
      </c>
      <c r="B46" s="33">
        <f t="shared" si="0"/>
        <v>70.696035242290748</v>
      </c>
      <c r="C46" s="34" t="s">
        <v>111</v>
      </c>
      <c r="D46" s="175"/>
    </row>
    <row r="47" spans="1:7">
      <c r="A47" s="172" t="s">
        <v>74</v>
      </c>
      <c r="B47" s="33">
        <f t="shared" si="0"/>
        <v>830.67841409691619</v>
      </c>
      <c r="C47" s="34" t="s">
        <v>111</v>
      </c>
      <c r="D47" s="175"/>
    </row>
    <row r="48" spans="1:7">
      <c r="A48" s="172" t="s">
        <v>75</v>
      </c>
      <c r="B48" s="33">
        <f t="shared" si="0"/>
        <v>101.62555066079294</v>
      </c>
      <c r="C48" s="33">
        <f>B48*10</f>
        <v>1016.2555066079294</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58</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6</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156</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31395.865062566081</v>
      </c>
      <c r="C5" s="17">
        <f>IF(ISERROR('Eigen informatie GS &amp; warmtenet'!B58),0,'Eigen informatie GS &amp; warmtenet'!B58)</f>
        <v>0</v>
      </c>
      <c r="D5" s="30">
        <f>SUM(D6:D12)</f>
        <v>34534.062864319152</v>
      </c>
      <c r="E5" s="17">
        <f>SUM(E6:E12)</f>
        <v>463.55155235896308</v>
      </c>
      <c r="F5" s="17">
        <f>SUM(F6:F12)</f>
        <v>5566.5277918160227</v>
      </c>
      <c r="G5" s="18"/>
      <c r="H5" s="17"/>
      <c r="I5" s="17"/>
      <c r="J5" s="17">
        <f>SUM(J6:J12)</f>
        <v>0</v>
      </c>
      <c r="K5" s="17"/>
      <c r="L5" s="17"/>
      <c r="M5" s="17"/>
      <c r="N5" s="17">
        <f>SUM(N6:N12)</f>
        <v>930.2172906558186</v>
      </c>
      <c r="O5" s="17">
        <f>B38*B39*B40</f>
        <v>0</v>
      </c>
      <c r="P5" s="17">
        <f>B46*B47*B48/1000-B46*B47*B48/1000/B49</f>
        <v>19.066666666666666</v>
      </c>
      <c r="R5" s="32"/>
    </row>
    <row r="6" spans="1:18">
      <c r="A6" s="32" t="s">
        <v>54</v>
      </c>
      <c r="B6" s="37">
        <f>B26</f>
        <v>4249.8574246150501</v>
      </c>
      <c r="C6" s="33"/>
      <c r="D6" s="37">
        <f>IF(ISERROR(TER_kantoor_gas_kWh/1000),0,TER_kantoor_gas_kWh/1000)*0.902</f>
        <v>6282.5367745317581</v>
      </c>
      <c r="E6" s="33">
        <f>$C$26*'E Balans VL '!I12/100/3.6*1000000</f>
        <v>148.76172772387113</v>
      </c>
      <c r="F6" s="33">
        <f>$C$26*('E Balans VL '!L12+'E Balans VL '!N12)/100/3.6*1000000</f>
        <v>644.36962911644343</v>
      </c>
      <c r="G6" s="34"/>
      <c r="H6" s="33"/>
      <c r="I6" s="33"/>
      <c r="J6" s="33">
        <f>$C$26*('E Balans VL '!D12+'E Balans VL '!E12)/100/3.6*1000000</f>
        <v>0</v>
      </c>
      <c r="K6" s="33"/>
      <c r="L6" s="33"/>
      <c r="M6" s="33"/>
      <c r="N6" s="33">
        <f>$C$26*'E Balans VL '!Y12/100/3.6*1000000</f>
        <v>32.850067723508324</v>
      </c>
      <c r="O6" s="33"/>
      <c r="P6" s="33"/>
      <c r="R6" s="32"/>
    </row>
    <row r="7" spans="1:18">
      <c r="A7" s="32" t="s">
        <v>53</v>
      </c>
      <c r="B7" s="37">
        <f t="shared" ref="B7:B12" si="0">B27</f>
        <v>897.85762910537596</v>
      </c>
      <c r="C7" s="33"/>
      <c r="D7" s="37">
        <f>IF(ISERROR(TER_horeca_gas_kWh/1000),0,TER_horeca_gas_kWh/1000)*0.902</f>
        <v>1530.4752982329092</v>
      </c>
      <c r="E7" s="33">
        <f>$C$27*'E Balans VL '!I9/100/3.6*1000000</f>
        <v>50.651108880468826</v>
      </c>
      <c r="F7" s="33">
        <f>$C$27*('E Balans VL '!L9+'E Balans VL '!N9)/100/3.6*1000000</f>
        <v>156.41176779807245</v>
      </c>
      <c r="G7" s="34"/>
      <c r="H7" s="33"/>
      <c r="I7" s="33"/>
      <c r="J7" s="33">
        <f>$C$27*('E Balans VL '!D9+'E Balans VL '!E9)/100/3.6*1000000</f>
        <v>0</v>
      </c>
      <c r="K7" s="33"/>
      <c r="L7" s="33"/>
      <c r="M7" s="33"/>
      <c r="N7" s="33">
        <f>$C$27*'E Balans VL '!Y9/100/3.6*1000000</f>
        <v>0</v>
      </c>
      <c r="O7" s="33"/>
      <c r="P7" s="33"/>
      <c r="R7" s="32"/>
    </row>
    <row r="8" spans="1:18">
      <c r="A8" s="6" t="s">
        <v>52</v>
      </c>
      <c r="B8" s="37">
        <f t="shared" si="0"/>
        <v>15450.439416233599</v>
      </c>
      <c r="C8" s="33"/>
      <c r="D8" s="37">
        <f>IF(ISERROR(TER_handel_gas_kWh/1000),0,TER_handel_gas_kWh/1000)*0.902</f>
        <v>10016.097553979913</v>
      </c>
      <c r="E8" s="33">
        <f>$C$28*'E Balans VL '!I13/100/3.6*1000000</f>
        <v>79.320986221065155</v>
      </c>
      <c r="F8" s="33">
        <f>$C$28*('E Balans VL '!L13+'E Balans VL '!N13)/100/3.6*1000000</f>
        <v>2382.2190241871463</v>
      </c>
      <c r="G8" s="34"/>
      <c r="H8" s="33"/>
      <c r="I8" s="33"/>
      <c r="J8" s="33">
        <f>$C$28*('E Balans VL '!D13+'E Balans VL '!E13)/100/3.6*1000000</f>
        <v>0</v>
      </c>
      <c r="K8" s="33"/>
      <c r="L8" s="33"/>
      <c r="M8" s="33"/>
      <c r="N8" s="33">
        <f>$C$28*'E Balans VL '!Y13/100/3.6*1000000</f>
        <v>7.2263591129715268</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2902.30495084514</v>
      </c>
      <c r="C10" s="33"/>
      <c r="D10" s="37">
        <f>IF(ISERROR(TER_ander_gas_kWh/1000),0,TER_ander_gas_kWh/1000)*0.902</f>
        <v>1223.522438074335</v>
      </c>
      <c r="E10" s="33">
        <f>$C$30*'E Balans VL '!I14/100/3.6*1000000</f>
        <v>17.692522588043932</v>
      </c>
      <c r="F10" s="33">
        <f>$C$30*('E Balans VL '!L14+'E Balans VL '!N14)/100/3.6*1000000</f>
        <v>769.44079953703294</v>
      </c>
      <c r="G10" s="34"/>
      <c r="H10" s="33"/>
      <c r="I10" s="33"/>
      <c r="J10" s="33">
        <f>$C$30*('E Balans VL '!D14+'E Balans VL '!E14)/100/3.6*1000000</f>
        <v>0</v>
      </c>
      <c r="K10" s="33"/>
      <c r="L10" s="33"/>
      <c r="M10" s="33"/>
      <c r="N10" s="33">
        <f>$C$30*'E Balans VL '!Y14/100/3.6*1000000</f>
        <v>668.91857697584612</v>
      </c>
      <c r="O10" s="33"/>
      <c r="P10" s="33"/>
      <c r="R10" s="32"/>
    </row>
    <row r="11" spans="1:18">
      <c r="A11" s="32" t="s">
        <v>55</v>
      </c>
      <c r="B11" s="37">
        <f t="shared" si="0"/>
        <v>106.743123290753</v>
      </c>
      <c r="C11" s="33"/>
      <c r="D11" s="37">
        <f>IF(ISERROR(TER_onderwijs_gas_kWh/1000),0,TER_onderwijs_gas_kWh/1000)*0.902</f>
        <v>798.49680928605471</v>
      </c>
      <c r="E11" s="33">
        <f>$C$31*'E Balans VL '!I11/100/3.6*1000000</f>
        <v>8.1343818120701947E-2</v>
      </c>
      <c r="F11" s="33">
        <f>$C$31*('E Balans VL '!L11+'E Balans VL '!N11)/100/3.6*1000000</f>
        <v>77.245173779741279</v>
      </c>
      <c r="G11" s="34"/>
      <c r="H11" s="33"/>
      <c r="I11" s="33"/>
      <c r="J11" s="33">
        <f>$C$31*('E Balans VL '!D11+'E Balans VL '!E11)/100/3.6*1000000</f>
        <v>0</v>
      </c>
      <c r="K11" s="33"/>
      <c r="L11" s="33"/>
      <c r="M11" s="33"/>
      <c r="N11" s="33">
        <f>$C$31*'E Balans VL '!Y11/100/3.6*1000000</f>
        <v>0.31459749547945248</v>
      </c>
      <c r="O11" s="33"/>
      <c r="P11" s="33"/>
      <c r="R11" s="32"/>
    </row>
    <row r="12" spans="1:18">
      <c r="A12" s="32" t="s">
        <v>261</v>
      </c>
      <c r="B12" s="37">
        <f t="shared" si="0"/>
        <v>7788.6625184761606</v>
      </c>
      <c r="C12" s="33"/>
      <c r="D12" s="37">
        <f>IF(ISERROR(TER_rest_gas_kWh/1000),0,TER_rest_gas_kWh/1000)*0.902</f>
        <v>14682.933990214186</v>
      </c>
      <c r="E12" s="33">
        <f>$C$32*'E Balans VL '!I8/100/3.6*1000000</f>
        <v>167.04386312739331</v>
      </c>
      <c r="F12" s="33">
        <f>$C$32*('E Balans VL '!L8+'E Balans VL '!N8)/100/3.6*1000000</f>
        <v>1536.8413973975867</v>
      </c>
      <c r="G12" s="34"/>
      <c r="H12" s="33"/>
      <c r="I12" s="33"/>
      <c r="J12" s="33">
        <f>$C$32*('E Balans VL '!D8+'E Balans VL '!E8)/100/3.6*1000000</f>
        <v>0</v>
      </c>
      <c r="K12" s="33"/>
      <c r="L12" s="33"/>
      <c r="M12" s="33"/>
      <c r="N12" s="33">
        <f>$C$32*'E Balans VL '!Y8/100/3.6*1000000</f>
        <v>220.90768934801318</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31395.865062566081</v>
      </c>
      <c r="C16" s="21">
        <f ca="1">C5+C13+C14</f>
        <v>0</v>
      </c>
      <c r="D16" s="21">
        <f t="shared" ref="D16:N16" ca="1" si="1">MAX((D5+D13+D14),0)</f>
        <v>34534.062864319152</v>
      </c>
      <c r="E16" s="21">
        <f t="shared" si="1"/>
        <v>463.55155235896308</v>
      </c>
      <c r="F16" s="21">
        <f t="shared" ca="1" si="1"/>
        <v>5566.5277918160227</v>
      </c>
      <c r="G16" s="21">
        <f t="shared" si="1"/>
        <v>0</v>
      </c>
      <c r="H16" s="21">
        <f t="shared" si="1"/>
        <v>0</v>
      </c>
      <c r="I16" s="21">
        <f t="shared" si="1"/>
        <v>0</v>
      </c>
      <c r="J16" s="21">
        <f t="shared" si="1"/>
        <v>0</v>
      </c>
      <c r="K16" s="21">
        <f t="shared" si="1"/>
        <v>0</v>
      </c>
      <c r="L16" s="21">
        <f t="shared" ca="1" si="1"/>
        <v>0</v>
      </c>
      <c r="M16" s="21">
        <f t="shared" si="1"/>
        <v>0</v>
      </c>
      <c r="N16" s="21">
        <f t="shared" ca="1" si="1"/>
        <v>930.2172906558186</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0.21989843581486626</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6903.9016183128897</v>
      </c>
      <c r="C20" s="23">
        <f t="shared" ref="C20:P20" ca="1" si="2">C16*C18</f>
        <v>0</v>
      </c>
      <c r="D20" s="23">
        <f t="shared" ca="1" si="2"/>
        <v>6975.8806985924693</v>
      </c>
      <c r="E20" s="23">
        <f t="shared" si="2"/>
        <v>105.22620238548463</v>
      </c>
      <c r="F20" s="23">
        <f t="shared" ca="1" si="2"/>
        <v>1486.2629204148782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4249.8574246150501</v>
      </c>
      <c r="C26" s="39">
        <f>IF(ISERROR(B26*3.6/1000000/'E Balans VL '!Z12*100),0,B26*3.6/1000000/'E Balans VL '!Z12*100)</f>
        <v>8.9431201642994312E-2</v>
      </c>
      <c r="D26" s="238" t="s">
        <v>720</v>
      </c>
      <c r="F26" s="6"/>
    </row>
    <row r="27" spans="1:18">
      <c r="A27" s="232" t="s">
        <v>53</v>
      </c>
      <c r="B27" s="33">
        <f>IF(ISERROR(TER_horeca_ele_kWh/1000),0,TER_horeca_ele_kWh/1000)</f>
        <v>897.85762910537596</v>
      </c>
      <c r="C27" s="39">
        <f>IF(ISERROR(B27*3.6/1000000/'E Balans VL '!Z9*100),0,B27*3.6/1000000/'E Balans VL '!Z9*100)</f>
        <v>7.6019082499778567E-2</v>
      </c>
      <c r="D27" s="238" t="s">
        <v>720</v>
      </c>
      <c r="F27" s="6"/>
    </row>
    <row r="28" spans="1:18">
      <c r="A28" s="172" t="s">
        <v>52</v>
      </c>
      <c r="B28" s="33">
        <f>IF(ISERROR(TER_handel_ele_kWh/1000),0,TER_handel_ele_kWh/1000)</f>
        <v>15450.439416233599</v>
      </c>
      <c r="C28" s="39">
        <f>IF(ISERROR(B28*3.6/1000000/'E Balans VL '!Z13*100),0,B28*3.6/1000000/'E Balans VL '!Z13*100)</f>
        <v>0.42774327876640894</v>
      </c>
      <c r="D28" s="238" t="s">
        <v>720</v>
      </c>
      <c r="F28" s="6"/>
    </row>
    <row r="29" spans="1:18">
      <c r="A29" s="232" t="s">
        <v>51</v>
      </c>
      <c r="B29" s="33">
        <f>IF(ISERROR(TER_gezond_ele_kWh/1000),0,TER_gezond_ele_kWh/1000)</f>
        <v>0</v>
      </c>
      <c r="C29" s="39">
        <f>IF(ISERROR(B29*3.6/1000000/'E Balans VL '!Z10*100),0,B29*3.6/1000000/'E Balans VL '!Z10*100)</f>
        <v>0</v>
      </c>
      <c r="D29" s="238" t="s">
        <v>720</v>
      </c>
      <c r="F29" s="6"/>
    </row>
    <row r="30" spans="1:18">
      <c r="A30" s="232" t="s">
        <v>50</v>
      </c>
      <c r="B30" s="33">
        <f>IF(ISERROR(TER_ander_ele_kWh/1000),0,TER_ander_ele_kWh/1000)</f>
        <v>2902.30495084514</v>
      </c>
      <c r="C30" s="39">
        <f>IF(ISERROR(B30*3.6/1000000/'E Balans VL '!Z14*100),0,B30*3.6/1000000/'E Balans VL '!Z14*100)</f>
        <v>0.22495524986013388</v>
      </c>
      <c r="D30" s="238" t="s">
        <v>720</v>
      </c>
      <c r="F30" s="6"/>
    </row>
    <row r="31" spans="1:18">
      <c r="A31" s="232" t="s">
        <v>55</v>
      </c>
      <c r="B31" s="33">
        <f>IF(ISERROR(TER_onderwijs_ele_kWh/1000),0,TER_onderwijs_ele_kWh/1000)</f>
        <v>106.743123290753</v>
      </c>
      <c r="C31" s="39">
        <f>IF(ISERROR(B31*3.6/1000000/'E Balans VL '!Z11*100),0,B31*3.6/1000000/'E Balans VL '!Z11*100)</f>
        <v>2.0421778349850858E-2</v>
      </c>
      <c r="D31" s="238" t="s">
        <v>720</v>
      </c>
    </row>
    <row r="32" spans="1:18">
      <c r="A32" s="232" t="s">
        <v>261</v>
      </c>
      <c r="B32" s="33">
        <f>IF(ISERROR(TER_rest_ele_kWh/1000),0,TER_rest_ele_kWh/1000)</f>
        <v>7788.6625184761606</v>
      </c>
      <c r="C32" s="39">
        <f>IF(ISERROR(B32*3.6/1000000/'E Balans VL '!Z8*100),0,B32*3.6/1000000/'E Balans VL '!Z8*100)</f>
        <v>6.422350350000075E-2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1</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163</v>
      </c>
      <c r="B1" s="1155" t="s">
        <v>196</v>
      </c>
      <c r="C1" s="1156"/>
      <c r="D1" s="1156"/>
      <c r="E1" s="1156"/>
      <c r="F1" s="1156"/>
      <c r="G1" s="1156"/>
      <c r="H1" s="1156"/>
      <c r="I1" s="1156"/>
      <c r="J1" s="1156"/>
      <c r="K1" s="1156"/>
      <c r="L1" s="1156"/>
      <c r="M1" s="1156"/>
      <c r="N1" s="1156"/>
      <c r="O1" s="1156"/>
      <c r="P1" s="1156"/>
      <c r="R1" s="809"/>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c r="R2" s="809"/>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30141.155884793126</v>
      </c>
      <c r="C5" s="17">
        <f>IF(ISERROR('Eigen informatie GS &amp; warmtenet'!B59),0,'Eigen informatie GS &amp; warmtenet'!B59)</f>
        <v>0</v>
      </c>
      <c r="D5" s="30">
        <f>SUM(D6:D15)</f>
        <v>59388.834176817581</v>
      </c>
      <c r="E5" s="17">
        <f>SUM(E6:E15)</f>
        <v>354.58473042869355</v>
      </c>
      <c r="F5" s="17">
        <f>SUM(F6:F15)</f>
        <v>5958.5751545561707</v>
      </c>
      <c r="G5" s="18"/>
      <c r="H5" s="17"/>
      <c r="I5" s="17"/>
      <c r="J5" s="17">
        <f>SUM(J6:J15)</f>
        <v>135.5559718381536</v>
      </c>
      <c r="K5" s="17"/>
      <c r="L5" s="17"/>
      <c r="M5" s="17"/>
      <c r="N5" s="17">
        <f>SUM(N6:N15)</f>
        <v>472.93637064952929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948.53640483646006</v>
      </c>
      <c r="C8" s="33"/>
      <c r="D8" s="37">
        <f>IF( ISERROR(IND_metaal_Gas_kWH/1000),0,IND_metaal_Gas_kWH/1000)*0.902</f>
        <v>31180.596026601492</v>
      </c>
      <c r="E8" s="33">
        <f>C30*'E Balans VL '!I18/100/3.6*1000000</f>
        <v>6.6651560317213034</v>
      </c>
      <c r="F8" s="33">
        <f>C30*'E Balans VL '!L18/100/3.6*1000000+C30*'E Balans VL '!N18/100/3.6*1000000</f>
        <v>104.14374776684741</v>
      </c>
      <c r="G8" s="34"/>
      <c r="H8" s="33"/>
      <c r="I8" s="33"/>
      <c r="J8" s="40">
        <f>C30*'E Balans VL '!D18/100/3.6*1000000+C30*'E Balans VL '!E18/100/3.6*1000000</f>
        <v>19.570350499338986</v>
      </c>
      <c r="K8" s="33"/>
      <c r="L8" s="33"/>
      <c r="M8" s="33"/>
      <c r="N8" s="33">
        <f>C30*'E Balans VL '!Y18/100/3.6*1000000</f>
        <v>3.5551827588456537</v>
      </c>
      <c r="O8" s="33"/>
      <c r="P8" s="33"/>
      <c r="R8" s="32"/>
    </row>
    <row r="9" spans="1:18">
      <c r="A9" s="6" t="s">
        <v>33</v>
      </c>
      <c r="B9" s="37">
        <f t="shared" si="0"/>
        <v>1223.5161737912799</v>
      </c>
      <c r="C9" s="33"/>
      <c r="D9" s="37">
        <f>IF( ISERROR(IND_andere_gas_kWh/1000),0,IND_andere_gas_kWh/1000)*0.902</f>
        <v>1146.7968108744315</v>
      </c>
      <c r="E9" s="33">
        <f>C31*'E Balans VL '!I19/100/3.6*1000000</f>
        <v>20.550452993993222</v>
      </c>
      <c r="F9" s="33">
        <f>C31*'E Balans VL '!L19/100/3.6*1000000+C31*'E Balans VL '!N19/100/3.6*1000000</f>
        <v>956.47525839206901</v>
      </c>
      <c r="G9" s="34"/>
      <c r="H9" s="33"/>
      <c r="I9" s="33"/>
      <c r="J9" s="40">
        <f>C31*'E Balans VL '!D19/100/3.6*1000000+C31*'E Balans VL '!E19/100/3.6*1000000</f>
        <v>0.11035035842775924</v>
      </c>
      <c r="K9" s="33"/>
      <c r="L9" s="33"/>
      <c r="M9" s="33"/>
      <c r="N9" s="33">
        <f>C31*'E Balans VL '!Y19/100/3.6*1000000</f>
        <v>90.682178066806955</v>
      </c>
      <c r="O9" s="33"/>
      <c r="P9" s="33"/>
      <c r="R9" s="32"/>
    </row>
    <row r="10" spans="1:18">
      <c r="A10" s="6" t="s">
        <v>41</v>
      </c>
      <c r="B10" s="37">
        <f t="shared" si="0"/>
        <v>19054.377716664298</v>
      </c>
      <c r="C10" s="33"/>
      <c r="D10" s="37">
        <f>IF( ISERROR(IND_voed_gas_kWh/1000),0,IND_voed_gas_kWh/1000)*0.902</f>
        <v>20602.484187759699</v>
      </c>
      <c r="E10" s="33">
        <f>C32*'E Balans VL '!I20/100/3.6*1000000</f>
        <v>173.84422424056558</v>
      </c>
      <c r="F10" s="33">
        <f>C32*'E Balans VL '!L20/100/3.6*1000000+C32*'E Balans VL '!N20/100/3.6*1000000</f>
        <v>3074.0671117546108</v>
      </c>
      <c r="G10" s="34"/>
      <c r="H10" s="33"/>
      <c r="I10" s="33"/>
      <c r="J10" s="40">
        <f>C32*'E Balans VL '!D20/100/3.6*1000000+C32*'E Balans VL '!E20/100/3.6*1000000</f>
        <v>78.47842009196259</v>
      </c>
      <c r="K10" s="33"/>
      <c r="L10" s="33"/>
      <c r="M10" s="33"/>
      <c r="N10" s="33">
        <f>C32*'E Balans VL '!Y20/100/3.6*1000000</f>
        <v>278.75052119628208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3360.7534148004502</v>
      </c>
      <c r="C13" s="33"/>
      <c r="D13" s="37">
        <f>IF( ISERROR(IND_papier_gas_kWh/1000),0,IND_papier_gas_kWh/1000)*0.902</f>
        <v>3785.9497193932402</v>
      </c>
      <c r="E13" s="33">
        <f>C35*'E Balans VL '!I23/100/3.6*1000000</f>
        <v>103.40161178814533</v>
      </c>
      <c r="F13" s="33">
        <f>C35*'E Balans VL '!L23/100/3.6*1000000+C35*'E Balans VL '!N23/100/3.6*1000000</f>
        <v>713.6054013546742</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5553.9721747006397</v>
      </c>
      <c r="C15" s="33"/>
      <c r="D15" s="37">
        <f>IF( ISERROR(IND_rest_gas_kWh/1000),0,IND_rest_gas_kWh/1000)*0.902</f>
        <v>2673.007432188725</v>
      </c>
      <c r="E15" s="33">
        <f>C37*'E Balans VL '!I15/100/3.6*1000000</f>
        <v>50.123285374268114</v>
      </c>
      <c r="F15" s="33">
        <f>C37*'E Balans VL '!L15/100/3.6*1000000+C37*'E Balans VL '!N15/100/3.6*1000000</f>
        <v>1110.2836352879699</v>
      </c>
      <c r="G15" s="34"/>
      <c r="H15" s="33"/>
      <c r="I15" s="33"/>
      <c r="J15" s="40">
        <f>C37*'E Balans VL '!D15/100/3.6*1000000+C37*'E Balans VL '!E15/100/3.6*1000000</f>
        <v>37.396850888424275</v>
      </c>
      <c r="K15" s="33"/>
      <c r="L15" s="33"/>
      <c r="M15" s="33"/>
      <c r="N15" s="33">
        <f>C37*'E Balans VL '!Y15/100/3.6*1000000</f>
        <v>99.948488627594628</v>
      </c>
      <c r="O15" s="33"/>
      <c r="P15" s="33"/>
      <c r="R15" s="32"/>
    </row>
    <row r="16" spans="1:18">
      <c r="A16" s="16" t="s">
        <v>497</v>
      </c>
      <c r="B16" s="248">
        <f>'lokale energieproductie'!N89+'lokale energieproductie'!N58</f>
        <v>18891</v>
      </c>
      <c r="C16" s="248">
        <f>'lokale energieproductie'!O89+'lokale energieproductie'!O58</f>
        <v>26987.142857142859</v>
      </c>
      <c r="D16" s="311">
        <f>('lokale energieproductie'!P58+'lokale energieproductie'!P89)*(-1)</f>
        <v>-53974.285714285717</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49032.15588479313</v>
      </c>
      <c r="C18" s="21">
        <f>C5+C16</f>
        <v>26987.142857142859</v>
      </c>
      <c r="D18" s="21">
        <f>MAX((D5+D16),0)</f>
        <v>5414.5484625318641</v>
      </c>
      <c r="E18" s="21">
        <f>MAX((E5+E16),0)</f>
        <v>354.58473042869355</v>
      </c>
      <c r="F18" s="21">
        <f>MAX((F5+F16),0)</f>
        <v>5958.5751545561707</v>
      </c>
      <c r="G18" s="21"/>
      <c r="H18" s="21"/>
      <c r="I18" s="21"/>
      <c r="J18" s="21">
        <f>MAX((J5+J16),0)</f>
        <v>135.5559718381536</v>
      </c>
      <c r="K18" s="21"/>
      <c r="L18" s="21">
        <f>MAX((L5+L16),0)</f>
        <v>0</v>
      </c>
      <c r="M18" s="21"/>
      <c r="N18" s="21">
        <f>MAX((N5+N16),0)</f>
        <v>472.93637064952929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0.21989843581486626</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10782.0943836967</v>
      </c>
      <c r="C22" s="23">
        <f ca="1">C18*C20</f>
        <v>6413.4151260504223</v>
      </c>
      <c r="D22" s="23">
        <f>D18*D20</f>
        <v>1093.7387894314365</v>
      </c>
      <c r="E22" s="23">
        <f>E18*E20</f>
        <v>80.490733807313433</v>
      </c>
      <c r="F22" s="23">
        <f>F18*F20</f>
        <v>1590.9395662664976</v>
      </c>
      <c r="G22" s="23"/>
      <c r="H22" s="23"/>
      <c r="I22" s="23"/>
      <c r="J22" s="23">
        <f>J18*J20</f>
        <v>47.98681403070637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948.53640483646006</v>
      </c>
      <c r="C30" s="39">
        <f>IF(ISERROR(B30*3.6/1000000/'E Balans VL '!Z18*100),0,B30*3.6/1000000/'E Balans VL '!Z18*100)</f>
        <v>6.3144647694829956E-2</v>
      </c>
      <c r="D30" s="238" t="s">
        <v>720</v>
      </c>
    </row>
    <row r="31" spans="1:18">
      <c r="A31" s="6" t="s">
        <v>33</v>
      </c>
      <c r="B31" s="37">
        <f>IF( ISERROR(IND_ander_ele_kWh/1000),0,IND_ander_ele_kWh/1000)</f>
        <v>1223.5161737912799</v>
      </c>
      <c r="C31" s="39">
        <f>IF(ISERROR(B31*3.6/1000000/'E Balans VL '!Z19*100),0,B31*3.6/1000000/'E Balans VL '!Z19*100)</f>
        <v>5.42336232545984E-2</v>
      </c>
      <c r="D31" s="238" t="s">
        <v>720</v>
      </c>
    </row>
    <row r="32" spans="1:18">
      <c r="A32" s="172" t="s">
        <v>41</v>
      </c>
      <c r="B32" s="37">
        <f>IF( ISERROR(IND_voed_ele_kWh/1000),0,IND_voed_ele_kWh/1000)</f>
        <v>19054.377716664298</v>
      </c>
      <c r="C32" s="39">
        <f>IF(ISERROR(B32*3.6/1000000/'E Balans VL '!Z20*100),0,B32*3.6/1000000/'E Balans VL '!Z20*100)</f>
        <v>0.63647087567187854</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3360.7534148004502</v>
      </c>
      <c r="C35" s="39">
        <f>IF(ISERROR(B35*3.6/1000000/'E Balans VL '!Z22*100),0,B35*3.6/1000000/'E Balans VL '!Z22*100)</f>
        <v>0.65362962340084574</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5553.9721747006397</v>
      </c>
      <c r="C37" s="39">
        <f>IF(ISERROR(B37*3.6/1000000/'E Balans VL '!Z15*100),0,B37*3.6/1000000/'E Balans VL '!Z15*100)</f>
        <v>4.1312504785124438E-2</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272</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477.19620793991402</v>
      </c>
      <c r="C5" s="17">
        <f>'Eigen informatie GS &amp; warmtenet'!B60</f>
        <v>0</v>
      </c>
      <c r="D5" s="30">
        <f>IF(ISERROR(SUM(LB_lb_gas_kWh,LB_rest_gas_kWh,onbekend_gas_kWh)/1000),0,SUM(LB_lb_gas_kWh,LB_rest_gas_kWh,onbekend_gas_kWh)/1000)*0.902</f>
        <v>10008.516850922546</v>
      </c>
      <c r="E5" s="17">
        <f>B17*'E Balans VL '!I25/3.6*1000000/100</f>
        <v>4.9973019983128921</v>
      </c>
      <c r="F5" s="17">
        <f>B17*('E Balans VL '!L25/3.6*1000000+'E Balans VL '!N25/3.6*1000000)/100</f>
        <v>2450.9557051960628</v>
      </c>
      <c r="G5" s="18"/>
      <c r="H5" s="17"/>
      <c r="I5" s="17"/>
      <c r="J5" s="17">
        <f>('E Balans VL '!D25+'E Balans VL '!E25)/3.6*1000000*landbouw!B17/100</f>
        <v>42.617898551613372</v>
      </c>
      <c r="K5" s="17"/>
      <c r="L5" s="17">
        <f>L6*(-1)</f>
        <v>0</v>
      </c>
      <c r="M5" s="17"/>
      <c r="N5" s="17">
        <f>N6*(-1)</f>
        <v>0</v>
      </c>
      <c r="O5" s="17"/>
      <c r="P5" s="17"/>
      <c r="R5" s="32"/>
    </row>
    <row r="6" spans="1:18">
      <c r="A6" s="16" t="s">
        <v>497</v>
      </c>
      <c r="B6" s="17" t="s">
        <v>212</v>
      </c>
      <c r="C6" s="17">
        <f>'lokale energieproductie'!O91+'lokale energieproductie'!O60</f>
        <v>7375.7142857142862</v>
      </c>
      <c r="D6" s="311">
        <f>('lokale energieproductie'!P60+'lokale energieproductie'!P91)*(-1)</f>
        <v>-14751.428571428572</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477.19620793991402</v>
      </c>
      <c r="C8" s="21">
        <f>C5+C6</f>
        <v>7375.7142857142862</v>
      </c>
      <c r="D8" s="21">
        <f>MAX((D5+D6),0)</f>
        <v>0</v>
      </c>
      <c r="E8" s="21">
        <f>MAX((E5+E6),0)</f>
        <v>4.9973019983128921</v>
      </c>
      <c r="F8" s="21">
        <f>MAX((F5+F6),0)</f>
        <v>2450.9557051960628</v>
      </c>
      <c r="G8" s="21"/>
      <c r="H8" s="21"/>
      <c r="I8" s="21"/>
      <c r="J8" s="21">
        <f>MAX((J5+J6),0)</f>
        <v>42.617898551613372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0.21989843581486626</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104.93469970277276</v>
      </c>
      <c r="C12" s="23">
        <f ca="1">C8*C10</f>
        <v>1752.8168067226895</v>
      </c>
      <c r="D12" s="23">
        <f>D8*D10</f>
        <v>0</v>
      </c>
      <c r="E12" s="23">
        <f>E8*E10</f>
        <v>1.1343875536170265</v>
      </c>
      <c r="F12" s="23">
        <f>F8*F10</f>
        <v>654.40517328734882</v>
      </c>
      <c r="G12" s="23"/>
      <c r="H12" s="23"/>
      <c r="I12" s="23"/>
      <c r="J12" s="23">
        <f>J8*J10</f>
        <v>15.086736087271133</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7.3449707991053284E-2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62" t="s">
        <v>304</v>
      </c>
      <c r="B22" s="1165" t="s">
        <v>305</v>
      </c>
      <c r="C22" s="1165" t="s">
        <v>502</v>
      </c>
    </row>
    <row r="23" spans="1:4">
      <c r="A23" s="1163"/>
      <c r="B23" s="1166"/>
      <c r="C23" s="1166"/>
    </row>
    <row r="24" spans="1:4" ht="15.75" thickBot="1">
      <c r="A24" s="1164"/>
      <c r="B24" s="1167"/>
      <c r="C24" s="1167"/>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5.1327743653406834</v>
      </c>
      <c r="C26" s="248">
        <f>B26*'GWP N2O_CH4'!B5</f>
        <v>107.78826167215435</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0.33519673103191372</v>
      </c>
      <c r="C27" s="248">
        <f>B27*'GWP N2O_CH4'!B5</f>
        <v>7.0391313516701883</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8.015102485104808E-2</v>
      </c>
      <c r="C28" s="248">
        <f>B28*'GWP N2O_CH4'!B4</f>
        <v>24.846817703824904</v>
      </c>
      <c r="D28" s="50"/>
    </row>
    <row r="29" spans="1:4">
      <c r="A29" s="41" t="s">
        <v>278</v>
      </c>
      <c r="B29" s="248">
        <f>B34*'ha_N2O bodem landbouw'!B4</f>
        <v>2.93304233125368</v>
      </c>
      <c r="C29" s="248">
        <f>B29*'GWP N2O_CH4'!B4</f>
        <v>909.24312268864082</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4.8472376692815976E-4</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54" t="s">
        <v>506</v>
      </c>
      <c r="B1" s="1155" t="s">
        <v>559</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6.2224700224609291E-6</v>
      </c>
      <c r="C5" s="446" t="s">
        <v>212</v>
      </c>
      <c r="D5" s="431">
        <f>SUM(D6:D11)</f>
        <v>2.8803737759312953E-5</v>
      </c>
      <c r="E5" s="431">
        <f>SUM(E6:E11)</f>
        <v>3.5288950210109887E-3</v>
      </c>
      <c r="F5" s="444" t="s">
        <v>212</v>
      </c>
      <c r="G5" s="431">
        <f>SUM(G6:G11)</f>
        <v>0.77647085848100117</v>
      </c>
      <c r="H5" s="431">
        <f>SUM(H6:H11)</f>
        <v>0.10070863943574272</v>
      </c>
      <c r="I5" s="446" t="s">
        <v>212</v>
      </c>
      <c r="J5" s="446" t="s">
        <v>212</v>
      </c>
      <c r="K5" s="446" t="s">
        <v>212</v>
      </c>
      <c r="L5" s="446" t="s">
        <v>212</v>
      </c>
      <c r="M5" s="431">
        <f>SUM(M6:M11)</f>
        <v>3.8189082771345827E-2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1.0997667350074037E-6</v>
      </c>
      <c r="C6" s="432"/>
      <c r="D6" s="432">
        <f>vkm_2011_GW_PW*SUMIFS(TableVerdeelsleutelVkm[CNG],TableVerdeelsleutelVkm[Voertuigtype],"Lichte voertuigen")*SUMIFS(TableECFTransport[EnergieConsumptieFactor (PJ per km)],TableECFTransport[Index],CONCATENATE($A6,"_CNG_CNG"))</f>
        <v>4.7409665578727859E-6</v>
      </c>
      <c r="E6" s="434">
        <f>vkm_2011_GW_PW*SUMIFS(TableVerdeelsleutelVkm[LPG],TableVerdeelsleutelVkm[Voertuigtype],"Lichte voertuigen")*SUMIFS(TableECFTransport[EnergieConsumptieFactor (PJ per km)],TableECFTransport[Index],CONCATENATE($A6,"_LPG_LPG"))</f>
        <v>4.9326848038640778E-4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6.0673377247072752E-2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1.5974042893539726E-2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3.3590574123757251E-3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3.4014275145593242E-2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1.166302358959711E-5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1.4693529545897626E-3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3.6198663351583162E-7</v>
      </c>
      <c r="C8" s="432"/>
      <c r="D8" s="434">
        <f>vkm_2011_NGW_PW*SUMIFS(TableVerdeelsleutelVkm[CNG],TableVerdeelsleutelVkm[Voertuigtype],"Lichte voertuigen")*SUMIFS(TableECFTransport[EnergieConsumptieFactor (PJ per km)],TableECFTransport[Index],CONCATENATE($A8,"_CNG_CNG"))</f>
        <v>2.7995432545194447E-6</v>
      </c>
      <c r="E8" s="434">
        <f>vkm_2011_NGW_PW*SUMIFS(TableVerdeelsleutelVkm[LPG],TableVerdeelsleutelVkm[Voertuigtype],"Lichte voertuigen")*SUMIFS(TableECFTransport[EnergieConsumptieFactor (PJ per km)],TableECFTransport[Index],CONCATENATE($A8,"_LPG_LPG"))</f>
        <v>2.6595595082665364E-4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3.1027831634879266E-2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9.0041371366348603E-3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1.756430976049725E-3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1.6347181357057067E-2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4.8693958681758315E-6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7.0613356211229406E-4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4.7607166539376936E-6</v>
      </c>
      <c r="C10" s="432"/>
      <c r="D10" s="434">
        <f>vkm_2011_SW_PW*SUMIFS(TableVerdeelsleutelVkm[CNG],TableVerdeelsleutelVkm[Voertuigtype],"Lichte voertuigen")*SUMIFS(TableECFTransport[EnergieConsumptieFactor (PJ per km)],TableECFTransport[Index],CONCATENATE($A10,"_CNG_CNG"))</f>
        <v>2.1263227946920721E-5</v>
      </c>
      <c r="E10" s="434">
        <f>vkm_2011_SW_PW*SUMIFS(TableVerdeelsleutelVkm[LPG],TableVerdeelsleutelVkm[Voertuigtype],"Lichte voertuigen")*SUMIFS(TableECFTransport[EnergieConsumptieFactor (PJ per km)],TableECFTransport[Index],CONCATENATE($A10,"_LPG_LPG"))</f>
        <v>2.7696705897979272E-3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0.31319822904986766</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7.559641373843623E-2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1.7022098065162406E-2</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0.32120996404653118</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1.1751324767412853E-4</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1.3876009801055914E-2</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1.7284638951280358</v>
      </c>
      <c r="C14" s="21"/>
      <c r="D14" s="21">
        <f t="shared" ref="D14:M14" si="0">((D5)*10^9/3600)+D12</f>
        <v>8.0010382664758204</v>
      </c>
      <c r="E14" s="21">
        <f t="shared" si="0"/>
        <v>980.24861694749688</v>
      </c>
      <c r="F14" s="21"/>
      <c r="G14" s="21">
        <f t="shared" si="0"/>
        <v>215686.34957805587</v>
      </c>
      <c r="H14" s="21">
        <f t="shared" si="0"/>
        <v>27974.622065484091</v>
      </c>
      <c r="I14" s="21"/>
      <c r="J14" s="21"/>
      <c r="K14" s="21"/>
      <c r="L14" s="21"/>
      <c r="M14" s="21">
        <f t="shared" si="0"/>
        <v>10608.078547596062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0.21989843581486626</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0.38008650690112611</v>
      </c>
      <c r="C18" s="23"/>
      <c r="D18" s="23">
        <f t="shared" ref="D18:M18" si="1">D14*D16</f>
        <v>1.6162097298281157</v>
      </c>
      <c r="E18" s="23">
        <f t="shared" si="1"/>
        <v>222.51643604708181</v>
      </c>
      <c r="F18" s="23"/>
      <c r="G18" s="23">
        <f t="shared" si="1"/>
        <v>57588.255337340925</v>
      </c>
      <c r="H18" s="23">
        <f t="shared" si="1"/>
        <v>6965.6808943055385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68" t="s">
        <v>507</v>
      </c>
      <c r="B46" s="1169" t="s">
        <v>558</v>
      </c>
      <c r="C46" s="1170"/>
      <c r="D46" s="1170"/>
      <c r="E46" s="1170"/>
      <c r="F46" s="1170"/>
      <c r="G46" s="1170"/>
      <c r="H46" s="1170"/>
      <c r="I46" s="1170"/>
      <c r="J46" s="1170"/>
      <c r="K46" s="1170"/>
      <c r="L46" s="1170"/>
      <c r="M46" s="1170"/>
      <c r="N46" s="1170"/>
      <c r="O46" s="1170"/>
      <c r="P46" s="1170"/>
    </row>
    <row r="47" spans="1:16" s="15" customFormat="1" ht="15.75" thickTop="1">
      <c r="A47" s="1168"/>
      <c r="B47" s="1171" t="s">
        <v>21</v>
      </c>
      <c r="C47" s="1171" t="s">
        <v>197</v>
      </c>
      <c r="D47" s="1173" t="s">
        <v>198</v>
      </c>
      <c r="E47" s="1174"/>
      <c r="F47" s="1174"/>
      <c r="G47" s="1174"/>
      <c r="H47" s="1174"/>
      <c r="I47" s="1174"/>
      <c r="J47" s="1174"/>
      <c r="K47" s="1175"/>
      <c r="L47" s="1173" t="s">
        <v>199</v>
      </c>
      <c r="M47" s="1174"/>
      <c r="N47" s="1174"/>
      <c r="O47" s="1174"/>
      <c r="P47" s="1175"/>
    </row>
    <row r="48" spans="1:16" s="15" customFormat="1" ht="45">
      <c r="A48" s="1168"/>
      <c r="B48" s="1172"/>
      <c r="C48" s="1172"/>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9.1275468453417292E-3</v>
      </c>
      <c r="H50" s="322">
        <f t="shared" si="2"/>
        <v>0</v>
      </c>
      <c r="I50" s="322">
        <f t="shared" si="2"/>
        <v>0</v>
      </c>
      <c r="J50" s="322">
        <f t="shared" si="2"/>
        <v>0</v>
      </c>
      <c r="K50" s="322">
        <f t="shared" si="2"/>
        <v>0</v>
      </c>
      <c r="L50" s="322">
        <f t="shared" si="2"/>
        <v>0</v>
      </c>
      <c r="M50" s="322">
        <f t="shared" si="2"/>
        <v>3.8906766760353598E-4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9.1275468453417292E-3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3.8906766760353598E-4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2535.4296792615914</v>
      </c>
      <c r="H54" s="21">
        <f t="shared" si="3"/>
        <v>0</v>
      </c>
      <c r="I54" s="21">
        <f t="shared" si="3"/>
        <v>0</v>
      </c>
      <c r="J54" s="21">
        <f t="shared" si="3"/>
        <v>0</v>
      </c>
      <c r="K54" s="21">
        <f t="shared" si="3"/>
        <v>0</v>
      </c>
      <c r="L54" s="21">
        <f t="shared" si="3"/>
        <v>0</v>
      </c>
      <c r="M54" s="21">
        <f t="shared" si="3"/>
        <v>108.07435211209332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0.21989843581486626</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676.95972436284501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13"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94" t="s">
        <v>242</v>
      </c>
      <c r="B1" s="1194" t="s">
        <v>243</v>
      </c>
      <c r="C1" s="1201" t="s">
        <v>244</v>
      </c>
      <c r="D1" s="1202"/>
      <c r="E1" s="1202"/>
      <c r="F1" s="1202"/>
      <c r="G1" s="1202"/>
      <c r="H1" s="1202"/>
      <c r="I1" s="1202"/>
      <c r="J1" s="1202"/>
      <c r="K1" s="1202"/>
      <c r="L1" s="1203"/>
      <c r="M1" s="1198" t="s">
        <v>245</v>
      </c>
      <c r="N1" s="1215" t="s">
        <v>560</v>
      </c>
      <c r="O1" s="1198"/>
      <c r="Q1" s="1193"/>
      <c r="R1" s="1193"/>
      <c r="S1" s="1193"/>
    </row>
    <row r="2" spans="1:19" s="547" customFormat="1" ht="15.75" thickBot="1">
      <c r="A2" s="1195"/>
      <c r="B2" s="1195"/>
      <c r="C2" s="1204" t="s">
        <v>198</v>
      </c>
      <c r="D2" s="1205"/>
      <c r="E2" s="1205"/>
      <c r="F2" s="1205"/>
      <c r="G2" s="1206"/>
      <c r="H2" s="1207" t="s">
        <v>246</v>
      </c>
      <c r="I2" s="1209" t="s">
        <v>247</v>
      </c>
      <c r="J2" s="1209" t="s">
        <v>235</v>
      </c>
      <c r="K2" s="1209" t="s">
        <v>248</v>
      </c>
      <c r="L2" s="1191" t="s">
        <v>127</v>
      </c>
      <c r="M2" s="1199"/>
      <c r="N2" s="1216"/>
      <c r="O2" s="1199"/>
      <c r="Q2" s="1193"/>
      <c r="R2" s="1193"/>
      <c r="S2" s="1193"/>
    </row>
    <row r="3" spans="1:19" s="547" customFormat="1" ht="53.45" customHeight="1" thickBot="1">
      <c r="A3" s="1196"/>
      <c r="B3" s="1197"/>
      <c r="C3" s="548" t="s">
        <v>200</v>
      </c>
      <c r="D3" s="549" t="s">
        <v>201</v>
      </c>
      <c r="E3" s="550" t="s">
        <v>202</v>
      </c>
      <c r="F3" s="551" t="s">
        <v>204</v>
      </c>
      <c r="G3" s="552" t="s">
        <v>205</v>
      </c>
      <c r="H3" s="1208"/>
      <c r="I3" s="1210"/>
      <c r="J3" s="1210"/>
      <c r="K3" s="1210"/>
      <c r="L3" s="1192"/>
      <c r="M3" s="1200"/>
      <c r="N3" s="1197"/>
      <c r="O3" s="1200"/>
      <c r="Q3" s="1193"/>
      <c r="R3" s="1193"/>
      <c r="S3" s="1193"/>
    </row>
    <row r="4" spans="1:19" s="547" customFormat="1" ht="15.75" thickTop="1">
      <c r="A4" s="553" t="s">
        <v>250</v>
      </c>
      <c r="B4" s="554">
        <f>IF(ISERROR(kWh_wind_land),0,kWh_wind_land)</f>
        <v>0</v>
      </c>
      <c r="C4" s="1179"/>
      <c r="D4" s="1182"/>
      <c r="E4" s="1182"/>
      <c r="F4" s="1185"/>
      <c r="G4" s="1188"/>
      <c r="H4" s="1176"/>
      <c r="I4" s="1182"/>
      <c r="J4" s="1182"/>
      <c r="K4" s="555"/>
      <c r="L4" s="1212"/>
      <c r="M4" s="556"/>
      <c r="N4" s="1224"/>
      <c r="O4" s="1225"/>
      <c r="Q4" s="557"/>
      <c r="R4" s="1211"/>
      <c r="S4" s="1211"/>
    </row>
    <row r="5" spans="1:19" s="547" customFormat="1">
      <c r="A5" s="558" t="s">
        <v>251</v>
      </c>
      <c r="B5" s="554">
        <f>IF(ISERROR(kWh_waterkracht),0,kWh_waterkracht)</f>
        <v>0</v>
      </c>
      <c r="C5" s="1180"/>
      <c r="D5" s="1183"/>
      <c r="E5" s="1183"/>
      <c r="F5" s="1186"/>
      <c r="G5" s="1189"/>
      <c r="H5" s="1177"/>
      <c r="I5" s="1183"/>
      <c r="J5" s="1183"/>
      <c r="K5" s="1183"/>
      <c r="L5" s="1213"/>
      <c r="M5" s="559"/>
      <c r="N5" s="1226"/>
      <c r="O5" s="1227"/>
      <c r="Q5" s="557"/>
      <c r="R5" s="1211"/>
      <c r="S5" s="1211"/>
    </row>
    <row r="6" spans="1:19" s="547" customFormat="1">
      <c r="A6" s="558" t="s">
        <v>252</v>
      </c>
      <c r="B6" s="554">
        <f>IF(ISERROR((kWh_PV_kleiner_dan_10kW+kWh_PV_groter_dan_10kW)),0,(kWh_PV_kleiner_dan_10kW+kWh_PV_groter_dan_10kW))</f>
        <v>2335.5212278432873</v>
      </c>
      <c r="C6" s="1181"/>
      <c r="D6" s="1184"/>
      <c r="E6" s="1184"/>
      <c r="F6" s="1187"/>
      <c r="G6" s="1190"/>
      <c r="H6" s="1178"/>
      <c r="I6" s="1184"/>
      <c r="J6" s="1184"/>
      <c r="K6" s="1184"/>
      <c r="L6" s="1214"/>
      <c r="M6" s="559"/>
      <c r="N6" s="1226"/>
      <c r="O6" s="1227"/>
      <c r="Q6" s="557"/>
      <c r="R6" s="1211"/>
      <c r="S6" s="1211"/>
    </row>
    <row r="7" spans="1:19" s="547" customFormat="1">
      <c r="A7" s="560" t="s">
        <v>253</v>
      </c>
      <c r="B7" s="561">
        <f>N57</f>
        <v>24054</v>
      </c>
      <c r="C7" s="562">
        <f>B100</f>
        <v>28298.823529411766</v>
      </c>
      <c r="D7" s="563"/>
      <c r="E7" s="563">
        <f>E100</f>
        <v>0</v>
      </c>
      <c r="F7" s="564"/>
      <c r="G7" s="565"/>
      <c r="H7" s="563">
        <f>I100</f>
        <v>0</v>
      </c>
      <c r="I7" s="563">
        <f>G100+F100</f>
        <v>0</v>
      </c>
      <c r="J7" s="563">
        <f>H100+D100+C100</f>
        <v>0</v>
      </c>
      <c r="K7" s="563"/>
      <c r="L7" s="566"/>
      <c r="M7" s="567">
        <f>C7*$C$11+D7*$D$11+E7*$E$11+F7*$F$11+G7*$G$11+H7*$H$11+I7*$I$11+J7*$J$11</f>
        <v>5716.3623529411771</v>
      </c>
      <c r="N7" s="1226"/>
      <c r="O7" s="1227"/>
      <c r="Q7" s="557"/>
      <c r="R7" s="1211"/>
      <c r="S7" s="1211"/>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228"/>
      <c r="O8" s="1229"/>
      <c r="P8" s="575"/>
      <c r="Q8" s="557"/>
      <c r="R8" s="1211"/>
      <c r="S8" s="1211"/>
    </row>
    <row r="9" spans="1:19" s="547" customFormat="1" ht="16.5" thickTop="1" thickBot="1">
      <c r="A9" s="576" t="s">
        <v>116</v>
      </c>
      <c r="B9" s="577">
        <f>SUM(B4:B8)</f>
        <v>26389.521227843288</v>
      </c>
      <c r="C9" s="578">
        <f t="shared" ref="C9:L9" si="0">SUM(C7:C8)</f>
        <v>28298.823529411766</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5716.3623529411771</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94" t="s">
        <v>254</v>
      </c>
      <c r="B13" s="1194" t="s">
        <v>255</v>
      </c>
      <c r="C13" s="1201" t="s">
        <v>256</v>
      </c>
      <c r="D13" s="1202"/>
      <c r="E13" s="1202"/>
      <c r="F13" s="1202"/>
      <c r="G13" s="1202"/>
      <c r="H13" s="1202"/>
      <c r="I13" s="1202"/>
      <c r="J13" s="1202"/>
      <c r="K13" s="1202"/>
      <c r="L13" s="1203"/>
      <c r="M13" s="1198" t="s">
        <v>245</v>
      </c>
      <c r="N13" s="1215" t="s">
        <v>257</v>
      </c>
      <c r="O13" s="1198"/>
      <c r="P13" s="1193"/>
      <c r="Q13" s="1193"/>
      <c r="R13" s="1193"/>
    </row>
    <row r="14" spans="1:19" s="547" customFormat="1" ht="15.75" thickBot="1">
      <c r="A14" s="1195"/>
      <c r="B14" s="1195"/>
      <c r="C14" s="1217" t="s">
        <v>198</v>
      </c>
      <c r="D14" s="1218"/>
      <c r="E14" s="1218"/>
      <c r="F14" s="1218"/>
      <c r="G14" s="1219"/>
      <c r="H14" s="1220" t="s">
        <v>246</v>
      </c>
      <c r="I14" s="1220" t="s">
        <v>247</v>
      </c>
      <c r="J14" s="1221" t="s">
        <v>235</v>
      </c>
      <c r="K14" s="1209" t="s">
        <v>258</v>
      </c>
      <c r="L14" s="1191" t="s">
        <v>127</v>
      </c>
      <c r="M14" s="1199"/>
      <c r="N14" s="1216"/>
      <c r="O14" s="1199"/>
      <c r="P14" s="1193"/>
      <c r="Q14" s="1193"/>
      <c r="R14" s="1193"/>
    </row>
    <row r="15" spans="1:19" s="547" customFormat="1" ht="40.700000000000003" customHeight="1" thickBot="1">
      <c r="A15" s="1196"/>
      <c r="B15" s="1196"/>
      <c r="C15" s="589" t="s">
        <v>200</v>
      </c>
      <c r="D15" s="549" t="s">
        <v>201</v>
      </c>
      <c r="E15" s="590" t="s">
        <v>202</v>
      </c>
      <c r="F15" s="549" t="s">
        <v>204</v>
      </c>
      <c r="G15" s="591" t="s">
        <v>205</v>
      </c>
      <c r="H15" s="1208"/>
      <c r="I15" s="1208"/>
      <c r="J15" s="1222"/>
      <c r="K15" s="1210"/>
      <c r="L15" s="1223"/>
      <c r="M15" s="1200"/>
      <c r="N15" s="1197"/>
      <c r="O15" s="1200"/>
      <c r="P15" s="1193"/>
      <c r="Q15" s="1193"/>
      <c r="R15" s="1193"/>
    </row>
    <row r="16" spans="1:19" s="547" customFormat="1" ht="15.75" thickTop="1">
      <c r="A16" s="592" t="s">
        <v>253</v>
      </c>
      <c r="B16" s="593">
        <f>O57</f>
        <v>34362.857142857145</v>
      </c>
      <c r="C16" s="594">
        <f>B101</f>
        <v>40426.890756302528</v>
      </c>
      <c r="D16" s="595"/>
      <c r="E16" s="595">
        <f>E101</f>
        <v>0</v>
      </c>
      <c r="F16" s="596"/>
      <c r="G16" s="597"/>
      <c r="H16" s="594">
        <f>I101</f>
        <v>0</v>
      </c>
      <c r="I16" s="595">
        <f>G101+F101</f>
        <v>0</v>
      </c>
      <c r="J16" s="595">
        <f>H101+D101+C101</f>
        <v>0</v>
      </c>
      <c r="K16" s="595"/>
      <c r="L16" s="598"/>
      <c r="M16" s="599">
        <f>C16*$C$21+E16*$E$21+H16*$H$21+I16*$I$21+J16*$J$21+D16*$D$21+F16*$F$21+G16*$G$21+K16*$K$21+L16*$L$21</f>
        <v>8166.2319327731111</v>
      </c>
      <c r="N16" s="1233"/>
      <c r="O16" s="1234"/>
      <c r="P16" s="600"/>
      <c r="Q16" s="1235"/>
      <c r="R16" s="1235"/>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236"/>
      <c r="O17" s="1237"/>
      <c r="P17" s="557"/>
      <c r="Q17" s="1211"/>
      <c r="R17" s="1211"/>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238"/>
      <c r="O18" s="1239"/>
      <c r="P18" s="557"/>
      <c r="Q18" s="1211"/>
      <c r="R18" s="1211"/>
    </row>
    <row r="19" spans="1:26" s="547" customFormat="1" ht="16.5" thickTop="1" thickBot="1">
      <c r="A19" s="576" t="s">
        <v>116</v>
      </c>
      <c r="B19" s="577">
        <f>SUM(B16:B18)</f>
        <v>34362.857142857145</v>
      </c>
      <c r="C19" s="577">
        <f>SUM(C16:C18)</f>
        <v>40426.890756302528</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8166.2319327731111</v>
      </c>
      <c r="N19" s="1230"/>
      <c r="O19" s="1231"/>
      <c r="P19" s="557"/>
      <c r="Q19" s="1232"/>
      <c r="R19" s="1232"/>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25.5">
      <c r="A27" s="608"/>
      <c r="B27" s="839">
        <v>11052</v>
      </c>
      <c r="C27" s="839">
        <v>2160</v>
      </c>
      <c r="D27" s="656" t="s">
        <v>931</v>
      </c>
      <c r="E27" s="655" t="s">
        <v>932</v>
      </c>
      <c r="F27" s="655" t="s">
        <v>933</v>
      </c>
      <c r="G27" s="655" t="s">
        <v>934</v>
      </c>
      <c r="H27" s="655" t="s">
        <v>935</v>
      </c>
      <c r="I27" s="655" t="s">
        <v>932</v>
      </c>
      <c r="J27" s="838">
        <v>39750</v>
      </c>
      <c r="K27" s="838">
        <v>39750</v>
      </c>
      <c r="L27" s="655" t="s">
        <v>936</v>
      </c>
      <c r="M27" s="655">
        <v>290</v>
      </c>
      <c r="N27" s="655">
        <v>1305</v>
      </c>
      <c r="O27" s="655">
        <v>1864.2857142857142</v>
      </c>
      <c r="P27" s="655">
        <v>3728.5714285714289</v>
      </c>
      <c r="Q27" s="655">
        <v>0</v>
      </c>
      <c r="R27" s="655">
        <v>0</v>
      </c>
      <c r="S27" s="655">
        <v>0</v>
      </c>
      <c r="T27" s="655">
        <v>0</v>
      </c>
      <c r="U27" s="655">
        <v>0</v>
      </c>
      <c r="V27" s="655">
        <v>0</v>
      </c>
      <c r="W27" s="655">
        <v>0</v>
      </c>
      <c r="X27" s="655">
        <v>10</v>
      </c>
      <c r="Y27" s="655" t="s">
        <v>112</v>
      </c>
      <c r="Z27" s="657" t="s">
        <v>112</v>
      </c>
    </row>
    <row r="28" spans="1:26" s="609" customFormat="1" ht="25.5">
      <c r="A28" s="608"/>
      <c r="B28" s="839">
        <v>11052</v>
      </c>
      <c r="C28" s="839">
        <v>2160</v>
      </c>
      <c r="D28" s="656" t="s">
        <v>937</v>
      </c>
      <c r="E28" s="655" t="s">
        <v>938</v>
      </c>
      <c r="F28" s="655" t="s">
        <v>939</v>
      </c>
      <c r="G28" s="655" t="s">
        <v>934</v>
      </c>
      <c r="H28" s="655" t="s">
        <v>935</v>
      </c>
      <c r="I28" s="655" t="s">
        <v>938</v>
      </c>
      <c r="J28" s="838">
        <v>40590</v>
      </c>
      <c r="K28" s="838">
        <v>40655</v>
      </c>
      <c r="L28" s="655" t="s">
        <v>940</v>
      </c>
      <c r="M28" s="655">
        <v>1286</v>
      </c>
      <c r="N28" s="655">
        <v>3858</v>
      </c>
      <c r="O28" s="655">
        <v>5511.4285714285716</v>
      </c>
      <c r="P28" s="655">
        <v>11022.857142857143</v>
      </c>
      <c r="Q28" s="655">
        <v>0</v>
      </c>
      <c r="R28" s="655">
        <v>0</v>
      </c>
      <c r="S28" s="655">
        <v>0</v>
      </c>
      <c r="T28" s="655">
        <v>0</v>
      </c>
      <c r="U28" s="655">
        <v>0</v>
      </c>
      <c r="V28" s="655">
        <v>0</v>
      </c>
      <c r="W28" s="655">
        <v>0</v>
      </c>
      <c r="X28" s="655">
        <v>10</v>
      </c>
      <c r="Y28" s="655" t="s">
        <v>112</v>
      </c>
      <c r="Z28" s="657" t="s">
        <v>112</v>
      </c>
    </row>
    <row r="29" spans="1:26" s="609" customFormat="1" ht="38.25">
      <c r="A29" s="608"/>
      <c r="B29" s="839">
        <v>11052</v>
      </c>
      <c r="C29" s="839">
        <v>2160</v>
      </c>
      <c r="D29" s="656" t="s">
        <v>941</v>
      </c>
      <c r="E29" s="655" t="s">
        <v>942</v>
      </c>
      <c r="F29" s="655" t="s">
        <v>943</v>
      </c>
      <c r="G29" s="655" t="s">
        <v>934</v>
      </c>
      <c r="H29" s="655" t="s">
        <v>935</v>
      </c>
      <c r="I29" s="655" t="s">
        <v>942</v>
      </c>
      <c r="J29" s="838">
        <v>40246</v>
      </c>
      <c r="K29" s="838">
        <v>39468</v>
      </c>
      <c r="L29" s="655" t="s">
        <v>940</v>
      </c>
      <c r="M29" s="655">
        <v>4198</v>
      </c>
      <c r="N29" s="655">
        <v>18891</v>
      </c>
      <c r="O29" s="655">
        <v>26987.142857142859</v>
      </c>
      <c r="P29" s="655">
        <v>53974.285714285717</v>
      </c>
      <c r="Q29" s="655">
        <v>0</v>
      </c>
      <c r="R29" s="655">
        <v>0</v>
      </c>
      <c r="S29" s="655">
        <v>0</v>
      </c>
      <c r="T29" s="655">
        <v>0</v>
      </c>
      <c r="U29" s="655">
        <v>0</v>
      </c>
      <c r="V29" s="655">
        <v>0</v>
      </c>
      <c r="W29" s="655">
        <v>0</v>
      </c>
      <c r="X29" s="655">
        <v>800</v>
      </c>
      <c r="Y29" s="655" t="s">
        <v>36</v>
      </c>
      <c r="Z29" s="657" t="s">
        <v>392</v>
      </c>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5774</v>
      </c>
      <c r="N57" s="613">
        <f>SUM(N27:N56)</f>
        <v>24054</v>
      </c>
      <c r="O57" s="613">
        <f t="shared" ref="O57:W57" si="2">SUM(O27:O56)</f>
        <v>34362.857142857145</v>
      </c>
      <c r="P57" s="613">
        <f t="shared" si="2"/>
        <v>68725.71428571429</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4198</v>
      </c>
      <c r="N58" s="613">
        <f t="shared" ref="N58:W58" si="3">SUMIF($Z$27:$Z$56,"industrie",N27:N56)</f>
        <v>18891</v>
      </c>
      <c r="O58" s="613">
        <f t="shared" si="3"/>
        <v>26987.142857142859</v>
      </c>
      <c r="P58" s="613">
        <f t="shared" si="3"/>
        <v>53974.285714285717</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1576</v>
      </c>
      <c r="N60" s="618">
        <f t="shared" ref="N60:W60" si="4">SUMIF($Z$27:$Z$56,"landbouw",N27:N56)</f>
        <v>5163</v>
      </c>
      <c r="O60" s="618">
        <f t="shared" si="4"/>
        <v>7375.7142857142862</v>
      </c>
      <c r="P60" s="618">
        <f t="shared" si="4"/>
        <v>14751.428571428572</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0.58823529411764708</v>
      </c>
      <c r="C97" s="638">
        <f>IF(ISERROR(N57/(O57+N57)),0,N57/(N57+O57))</f>
        <v>0.41176470588235292</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28298.823529411766</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40426.890756302528</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851</v>
      </c>
      <c r="B10" s="977" t="s">
        <v>852</v>
      </c>
      <c r="C10" s="969" t="s">
        <v>855</v>
      </c>
      <c r="D10" s="969" t="s">
        <v>854</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871</v>
      </c>
      <c r="G16" s="351" t="s">
        <v>872</v>
      </c>
      <c r="H16" s="352" t="s">
        <v>873</v>
      </c>
    </row>
    <row r="17" spans="1:8">
      <c r="A17" s="348" t="s">
        <v>519</v>
      </c>
      <c r="B17" s="349" t="s">
        <v>383</v>
      </c>
      <c r="C17" s="348" t="s">
        <v>381</v>
      </c>
      <c r="D17" s="358" t="s">
        <v>382</v>
      </c>
      <c r="E17" s="350" t="s">
        <v>384</v>
      </c>
      <c r="F17" s="351" t="s">
        <v>806</v>
      </c>
      <c r="G17" s="351" t="s">
        <v>807</v>
      </c>
      <c r="H17" s="352" t="s">
        <v>808</v>
      </c>
    </row>
    <row r="18" spans="1:8">
      <c r="A18" s="348" t="s">
        <v>519</v>
      </c>
      <c r="B18" s="349" t="s">
        <v>859</v>
      </c>
      <c r="C18" s="348" t="s">
        <v>863</v>
      </c>
      <c r="D18" s="358" t="s">
        <v>864</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859</v>
      </c>
      <c r="C22" s="353" t="s">
        <v>414</v>
      </c>
      <c r="D22" s="353" t="s">
        <v>860</v>
      </c>
      <c r="E22" s="350"/>
      <c r="F22" s="351" t="s">
        <v>874</v>
      </c>
      <c r="G22" s="351" t="s">
        <v>875</v>
      </c>
      <c r="H22" s="352" t="s">
        <v>876</v>
      </c>
    </row>
    <row r="23" spans="1:8">
      <c r="A23" s="969" t="s">
        <v>414</v>
      </c>
      <c r="B23" s="973" t="s">
        <v>861</v>
      </c>
      <c r="C23" s="969" t="s">
        <v>414</v>
      </c>
      <c r="D23" s="969" t="s">
        <v>862</v>
      </c>
      <c r="E23" s="970"/>
      <c r="F23" s="971" t="s">
        <v>877</v>
      </c>
      <c r="G23" s="971" t="s">
        <v>878</v>
      </c>
      <c r="H23" s="972" t="s">
        <v>879</v>
      </c>
    </row>
    <row r="24" spans="1:8">
      <c r="A24" s="353" t="s">
        <v>865</v>
      </c>
      <c r="B24" s="985" t="s">
        <v>870</v>
      </c>
      <c r="C24" s="353" t="s">
        <v>865</v>
      </c>
      <c r="D24" s="353" t="s">
        <v>866</v>
      </c>
      <c r="E24" s="350" t="s">
        <v>867</v>
      </c>
      <c r="F24" s="351" t="s">
        <v>880</v>
      </c>
      <c r="G24" s="351" t="s">
        <v>881</v>
      </c>
      <c r="H24" s="352" t="s">
        <v>882</v>
      </c>
    </row>
    <row r="25" spans="1:8">
      <c r="A25" s="348" t="s">
        <v>865</v>
      </c>
      <c r="B25" s="986" t="s">
        <v>870</v>
      </c>
      <c r="C25" s="348" t="s">
        <v>865</v>
      </c>
      <c r="D25" s="358" t="s">
        <v>868</v>
      </c>
      <c r="E25" s="350" t="s">
        <v>869</v>
      </c>
      <c r="F25" s="351" t="s">
        <v>880</v>
      </c>
      <c r="G25" s="351" t="s">
        <v>881</v>
      </c>
      <c r="H25" s="352" t="s">
        <v>882</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topLeftCell="A73"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1040" t="s">
        <v>222</v>
      </c>
      <c r="B2" s="1040"/>
      <c r="C2" s="1040"/>
      <c r="D2" s="59"/>
      <c r="E2" s="59"/>
      <c r="F2" s="59"/>
      <c r="G2" s="59"/>
      <c r="H2" s="60"/>
      <c r="I2" s="60"/>
      <c r="J2" s="61"/>
      <c r="K2" s="61"/>
      <c r="L2" s="60"/>
      <c r="M2" s="60"/>
      <c r="N2" s="60"/>
      <c r="O2" s="60"/>
      <c r="P2" s="60"/>
      <c r="Q2" s="60"/>
      <c r="R2" s="60"/>
    </row>
    <row r="3" spans="1:19">
      <c r="A3" s="1041"/>
      <c r="B3" s="1041"/>
      <c r="C3" s="1041"/>
      <c r="D3" s="1041"/>
      <c r="E3" s="1041"/>
      <c r="F3" s="1041"/>
      <c r="G3" s="1041"/>
      <c r="H3" s="1041"/>
      <c r="I3" s="1041"/>
      <c r="J3" s="1041"/>
      <c r="K3" s="1041"/>
      <c r="L3" s="1041"/>
      <c r="M3" s="1041"/>
      <c r="N3" s="1041"/>
      <c r="O3" s="1041"/>
      <c r="P3" s="1041"/>
      <c r="Q3" s="1041"/>
      <c r="R3" s="1041"/>
    </row>
    <row r="4" spans="1:19" ht="15.75" thickBot="1">
      <c r="A4" s="456"/>
      <c r="B4" s="456"/>
      <c r="C4" s="63"/>
      <c r="D4" s="63"/>
      <c r="E4" s="63"/>
      <c r="F4" s="63"/>
      <c r="G4" s="63"/>
      <c r="H4" s="63"/>
      <c r="I4" s="63"/>
      <c r="J4" s="63"/>
      <c r="K4" s="63"/>
      <c r="L4" s="63"/>
      <c r="M4" s="63"/>
      <c r="N4" s="63"/>
      <c r="O4" s="63"/>
      <c r="P4" s="63"/>
      <c r="Q4" s="63"/>
      <c r="R4" s="63"/>
    </row>
    <row r="5" spans="1:19" ht="16.5" thickBot="1">
      <c r="A5" s="1042" t="s">
        <v>223</v>
      </c>
      <c r="B5" s="848"/>
      <c r="C5" s="1045" t="s">
        <v>344</v>
      </c>
      <c r="D5" s="1046"/>
      <c r="E5" s="1046"/>
      <c r="F5" s="1046"/>
      <c r="G5" s="1046"/>
      <c r="H5" s="1046"/>
      <c r="I5" s="1046"/>
      <c r="J5" s="1046"/>
      <c r="K5" s="1046"/>
      <c r="L5" s="1046"/>
      <c r="M5" s="1046"/>
      <c r="N5" s="1046"/>
      <c r="O5" s="1046"/>
      <c r="P5" s="1046"/>
      <c r="Q5" s="1046"/>
      <c r="R5" s="1047"/>
    </row>
    <row r="6" spans="1:19" ht="16.5" thickTop="1">
      <c r="A6" s="1043"/>
      <c r="B6" s="849"/>
      <c r="C6" s="1048" t="s">
        <v>21</v>
      </c>
      <c r="D6" s="1050" t="s">
        <v>197</v>
      </c>
      <c r="E6" s="1052" t="s">
        <v>198</v>
      </c>
      <c r="F6" s="1053"/>
      <c r="G6" s="1053"/>
      <c r="H6" s="1053"/>
      <c r="I6" s="1053"/>
      <c r="J6" s="1053"/>
      <c r="K6" s="1053"/>
      <c r="L6" s="1054"/>
      <c r="M6" s="1052" t="s">
        <v>199</v>
      </c>
      <c r="N6" s="1053"/>
      <c r="O6" s="1053"/>
      <c r="P6" s="1053"/>
      <c r="Q6" s="1053"/>
      <c r="R6" s="1055" t="s">
        <v>116</v>
      </c>
    </row>
    <row r="7" spans="1:19" ht="45.75" thickBot="1">
      <c r="A7" s="1044"/>
      <c r="B7" s="850"/>
      <c r="C7" s="1049"/>
      <c r="D7" s="1051"/>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56"/>
    </row>
    <row r="8" spans="1:19" ht="18.75" customHeight="1" thickTop="1">
      <c r="A8" s="857" t="s">
        <v>345</v>
      </c>
      <c r="B8" s="862"/>
      <c r="C8" s="1057"/>
      <c r="D8" s="1057"/>
      <c r="E8" s="1057"/>
      <c r="F8" s="1057"/>
      <c r="G8" s="1057"/>
      <c r="H8" s="1057"/>
      <c r="I8" s="1057"/>
      <c r="J8" s="1057"/>
      <c r="K8" s="1057"/>
      <c r="L8" s="1057"/>
      <c r="M8" s="1057"/>
      <c r="N8" s="1057"/>
      <c r="O8" s="1057"/>
      <c r="P8" s="1057"/>
      <c r="Q8" s="1057"/>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32285.756062566081</v>
      </c>
      <c r="D10" s="702">
        <f ca="1">tertiair!C16</f>
        <v>0</v>
      </c>
      <c r="E10" s="702">
        <f ca="1">tertiair!D16</f>
        <v>34534.062864319152</v>
      </c>
      <c r="F10" s="702">
        <f>tertiair!E16</f>
        <v>463.55155235896308</v>
      </c>
      <c r="G10" s="702">
        <f ca="1">tertiair!F16</f>
        <v>5566.5277918160227</v>
      </c>
      <c r="H10" s="702">
        <f>tertiair!G16</f>
        <v>0</v>
      </c>
      <c r="I10" s="702">
        <f>tertiair!H16</f>
        <v>0</v>
      </c>
      <c r="J10" s="702">
        <f>tertiair!I16</f>
        <v>0</v>
      </c>
      <c r="K10" s="702">
        <f>tertiair!J16</f>
        <v>0</v>
      </c>
      <c r="L10" s="702">
        <f>tertiair!K16</f>
        <v>0</v>
      </c>
      <c r="M10" s="702">
        <f ca="1">tertiair!L16</f>
        <v>0</v>
      </c>
      <c r="N10" s="702">
        <f>tertiair!M16</f>
        <v>0</v>
      </c>
      <c r="O10" s="702">
        <f ca="1">tertiair!N16</f>
        <v>930.2172906558186</v>
      </c>
      <c r="P10" s="702">
        <f>tertiair!O16</f>
        <v>0</v>
      </c>
      <c r="Q10" s="703">
        <f>tertiair!P16</f>
        <v>19.066666666666666</v>
      </c>
      <c r="R10" s="705">
        <f ca="1">SUM(C10:Q10)</f>
        <v>73799.182228382691</v>
      </c>
      <c r="S10" s="67"/>
    </row>
    <row r="11" spans="1:19" s="457" customFormat="1">
      <c r="A11" s="858" t="s">
        <v>226</v>
      </c>
      <c r="B11" s="863"/>
      <c r="C11" s="702">
        <f>huishoudens!B8</f>
        <v>23255.451730337849</v>
      </c>
      <c r="D11" s="702">
        <f>huishoudens!C8</f>
        <v>0</v>
      </c>
      <c r="E11" s="702">
        <f>huishoudens!D8</f>
        <v>62657.106257987281</v>
      </c>
      <c r="F11" s="702">
        <f>huishoudens!E8</f>
        <v>1454.1949275838683</v>
      </c>
      <c r="G11" s="702">
        <f>huishoudens!F8</f>
        <v>0</v>
      </c>
      <c r="H11" s="702">
        <f>huishoudens!G8</f>
        <v>0</v>
      </c>
      <c r="I11" s="702">
        <f>huishoudens!H8</f>
        <v>0</v>
      </c>
      <c r="J11" s="702">
        <f>huishoudens!I8</f>
        <v>0</v>
      </c>
      <c r="K11" s="702">
        <f>huishoudens!J8</f>
        <v>0</v>
      </c>
      <c r="L11" s="702">
        <f>huishoudens!K8</f>
        <v>0</v>
      </c>
      <c r="M11" s="702">
        <f>huishoudens!L8</f>
        <v>0</v>
      </c>
      <c r="N11" s="702">
        <f>huishoudens!M8</f>
        <v>0</v>
      </c>
      <c r="O11" s="702">
        <f>huishoudens!N8</f>
        <v>6048.2589911010791</v>
      </c>
      <c r="P11" s="702">
        <f>huishoudens!O8</f>
        <v>90.673333333333346</v>
      </c>
      <c r="Q11" s="703">
        <f>huishoudens!P8</f>
        <v>114.4</v>
      </c>
      <c r="R11" s="705">
        <f>SUM(C11:Q11)</f>
        <v>93620.085240343411</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49032.15588479313</v>
      </c>
      <c r="D13" s="702">
        <f>industrie!C18</f>
        <v>26987.142857142859</v>
      </c>
      <c r="E13" s="702">
        <f>industrie!D18</f>
        <v>5414.5484625318641</v>
      </c>
      <c r="F13" s="702">
        <f>industrie!E18</f>
        <v>354.58473042869355</v>
      </c>
      <c r="G13" s="702">
        <f>industrie!F18</f>
        <v>5958.5751545561707</v>
      </c>
      <c r="H13" s="702">
        <f>industrie!G18</f>
        <v>0</v>
      </c>
      <c r="I13" s="702">
        <f>industrie!H18</f>
        <v>0</v>
      </c>
      <c r="J13" s="702">
        <f>industrie!I18</f>
        <v>0</v>
      </c>
      <c r="K13" s="702">
        <f>industrie!J18</f>
        <v>135.5559718381536</v>
      </c>
      <c r="L13" s="702">
        <f>industrie!K18</f>
        <v>0</v>
      </c>
      <c r="M13" s="702">
        <f>industrie!L18</f>
        <v>0</v>
      </c>
      <c r="N13" s="702">
        <f>industrie!M18</f>
        <v>0</v>
      </c>
      <c r="O13" s="702">
        <f>industrie!N18</f>
        <v>472.93637064952929</v>
      </c>
      <c r="P13" s="702">
        <f>industrie!O18</f>
        <v>0</v>
      </c>
      <c r="Q13" s="703">
        <f>industrie!P18</f>
        <v>0</v>
      </c>
      <c r="R13" s="705">
        <f>SUM(C13:Q13)</f>
        <v>88355.499431940392</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104573.36367769705</v>
      </c>
      <c r="D15" s="707">
        <f t="shared" ref="D15:Q15" ca="1" si="0">SUM(D9:D14)</f>
        <v>26987.142857142859</v>
      </c>
      <c r="E15" s="707">
        <f t="shared" ca="1" si="0"/>
        <v>102605.71758483829</v>
      </c>
      <c r="F15" s="707">
        <f t="shared" si="0"/>
        <v>2272.3312103715252</v>
      </c>
      <c r="G15" s="707">
        <f t="shared" ca="1" si="0"/>
        <v>11525.102946372193</v>
      </c>
      <c r="H15" s="707">
        <f t="shared" si="0"/>
        <v>0</v>
      </c>
      <c r="I15" s="707">
        <f t="shared" si="0"/>
        <v>0</v>
      </c>
      <c r="J15" s="707">
        <f t="shared" si="0"/>
        <v>0</v>
      </c>
      <c r="K15" s="707">
        <f t="shared" si="0"/>
        <v>135.5559718381536</v>
      </c>
      <c r="L15" s="707">
        <f t="shared" si="0"/>
        <v>0</v>
      </c>
      <c r="M15" s="707">
        <f t="shared" ca="1" si="0"/>
        <v>0</v>
      </c>
      <c r="N15" s="707">
        <f t="shared" si="0"/>
        <v>0</v>
      </c>
      <c r="O15" s="707">
        <f t="shared" ca="1" si="0"/>
        <v>7451.4126524064277</v>
      </c>
      <c r="P15" s="707">
        <f t="shared" si="0"/>
        <v>90.673333333333346</v>
      </c>
      <c r="Q15" s="708">
        <f t="shared" si="0"/>
        <v>133.46666666666667</v>
      </c>
      <c r="R15" s="709">
        <f ca="1">SUM(R9:R14)</f>
        <v>255774.76690066647</v>
      </c>
      <c r="S15" s="67"/>
    </row>
    <row r="16" spans="1:19" s="457" customFormat="1" ht="15.75">
      <c r="A16" s="860" t="s">
        <v>228</v>
      </c>
      <c r="B16" s="752"/>
      <c r="C16" s="1058"/>
      <c r="D16" s="1058"/>
      <c r="E16" s="1058"/>
      <c r="F16" s="1058"/>
      <c r="G16" s="1058"/>
      <c r="H16" s="1058"/>
      <c r="I16" s="1058"/>
      <c r="J16" s="1058"/>
      <c r="K16" s="1058"/>
      <c r="L16" s="1058"/>
      <c r="M16" s="1058"/>
      <c r="N16" s="1058"/>
      <c r="O16" s="1058"/>
      <c r="P16" s="1058"/>
      <c r="Q16" s="1058"/>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2535.4296792615914</v>
      </c>
      <c r="I18" s="702">
        <f>transport!H54</f>
        <v>0</v>
      </c>
      <c r="J18" s="702">
        <f>transport!I54</f>
        <v>0</v>
      </c>
      <c r="K18" s="702">
        <f>transport!J54</f>
        <v>0</v>
      </c>
      <c r="L18" s="702">
        <f>transport!K54</f>
        <v>0</v>
      </c>
      <c r="M18" s="702">
        <f>transport!L54</f>
        <v>0</v>
      </c>
      <c r="N18" s="702">
        <f>transport!M54</f>
        <v>108.07435211209332</v>
      </c>
      <c r="O18" s="702">
        <f>transport!N54</f>
        <v>0</v>
      </c>
      <c r="P18" s="702">
        <f>transport!O54</f>
        <v>0</v>
      </c>
      <c r="Q18" s="703">
        <f>transport!P54</f>
        <v>0</v>
      </c>
      <c r="R18" s="705">
        <f>SUM(C18:Q18)</f>
        <v>2643.5040313736849</v>
      </c>
      <c r="S18" s="67"/>
    </row>
    <row r="19" spans="1:19" s="457" customFormat="1" ht="15" thickBot="1">
      <c r="A19" s="858" t="s">
        <v>308</v>
      </c>
      <c r="B19" s="863"/>
      <c r="C19" s="711">
        <f>transport!B14</f>
        <v>1.7284638951280358</v>
      </c>
      <c r="D19" s="711">
        <f>transport!C14</f>
        <v>0</v>
      </c>
      <c r="E19" s="711">
        <f>transport!D14</f>
        <v>8.0010382664758204</v>
      </c>
      <c r="F19" s="711">
        <f>transport!E14</f>
        <v>980.24861694749688</v>
      </c>
      <c r="G19" s="711">
        <f>transport!F14</f>
        <v>0</v>
      </c>
      <c r="H19" s="711">
        <f>transport!G14</f>
        <v>215686.34957805587</v>
      </c>
      <c r="I19" s="711">
        <f>transport!H14</f>
        <v>27974.622065484091</v>
      </c>
      <c r="J19" s="711">
        <f>transport!I14</f>
        <v>0</v>
      </c>
      <c r="K19" s="711">
        <f>transport!J14</f>
        <v>0</v>
      </c>
      <c r="L19" s="711">
        <f>transport!K14</f>
        <v>0</v>
      </c>
      <c r="M19" s="711">
        <f>transport!L14</f>
        <v>0</v>
      </c>
      <c r="N19" s="711">
        <f>transport!M14</f>
        <v>10608.078547596062</v>
      </c>
      <c r="O19" s="711">
        <f>transport!N14</f>
        <v>0</v>
      </c>
      <c r="P19" s="711">
        <f>transport!O14</f>
        <v>0</v>
      </c>
      <c r="Q19" s="712">
        <f>transport!P14</f>
        <v>0</v>
      </c>
      <c r="R19" s="713">
        <f>SUM(C19:Q19)</f>
        <v>255259.02831024511</v>
      </c>
      <c r="S19" s="67"/>
    </row>
    <row r="20" spans="1:19" s="457" customFormat="1" ht="15.75" thickBot="1">
      <c r="A20" s="714" t="s">
        <v>231</v>
      </c>
      <c r="B20" s="866"/>
      <c r="C20" s="861">
        <f>SUM(C17:C19)</f>
        <v>1.7284638951280358</v>
      </c>
      <c r="D20" s="715">
        <f t="shared" ref="D20:R20" si="1">SUM(D17:D19)</f>
        <v>0</v>
      </c>
      <c r="E20" s="715">
        <f t="shared" si="1"/>
        <v>8.0010382664758204</v>
      </c>
      <c r="F20" s="715">
        <f t="shared" si="1"/>
        <v>980.24861694749688</v>
      </c>
      <c r="G20" s="715">
        <f t="shared" si="1"/>
        <v>0</v>
      </c>
      <c r="H20" s="715">
        <f t="shared" si="1"/>
        <v>218221.77925731745</v>
      </c>
      <c r="I20" s="715">
        <f t="shared" si="1"/>
        <v>27974.622065484091</v>
      </c>
      <c r="J20" s="715">
        <f t="shared" si="1"/>
        <v>0</v>
      </c>
      <c r="K20" s="715">
        <f t="shared" si="1"/>
        <v>0</v>
      </c>
      <c r="L20" s="715">
        <f t="shared" si="1"/>
        <v>0</v>
      </c>
      <c r="M20" s="715">
        <f t="shared" si="1"/>
        <v>0</v>
      </c>
      <c r="N20" s="715">
        <f t="shared" si="1"/>
        <v>10716.152899708155</v>
      </c>
      <c r="O20" s="715">
        <f t="shared" si="1"/>
        <v>0</v>
      </c>
      <c r="P20" s="715">
        <f t="shared" si="1"/>
        <v>0</v>
      </c>
      <c r="Q20" s="716">
        <f t="shared" si="1"/>
        <v>0</v>
      </c>
      <c r="R20" s="717">
        <f t="shared" si="1"/>
        <v>257902.53234161879</v>
      </c>
      <c r="S20" s="67"/>
    </row>
    <row r="21" spans="1:19" s="457" customFormat="1" ht="15.75">
      <c r="A21" s="860" t="s">
        <v>238</v>
      </c>
      <c r="B21" s="752"/>
      <c r="C21" s="1058"/>
      <c r="D21" s="1058"/>
      <c r="E21" s="1058"/>
      <c r="F21" s="1058"/>
      <c r="G21" s="1058"/>
      <c r="H21" s="1058"/>
      <c r="I21" s="1058"/>
      <c r="J21" s="1058"/>
      <c r="K21" s="1058"/>
      <c r="L21" s="1058"/>
      <c r="M21" s="1058"/>
      <c r="N21" s="1058"/>
      <c r="O21" s="1058"/>
      <c r="P21" s="1058"/>
      <c r="Q21" s="1058"/>
      <c r="R21" s="710"/>
      <c r="S21" s="67"/>
    </row>
    <row r="22" spans="1:19" s="457" customFormat="1" ht="15" thickBot="1">
      <c r="A22" s="858" t="s">
        <v>652</v>
      </c>
      <c r="B22" s="867"/>
      <c r="C22" s="711">
        <f>+landbouw!B8</f>
        <v>477.19620793991402</v>
      </c>
      <c r="D22" s="711">
        <f>+landbouw!C8</f>
        <v>7375.7142857142862</v>
      </c>
      <c r="E22" s="711">
        <f>+landbouw!D8</f>
        <v>0</v>
      </c>
      <c r="F22" s="711">
        <f>+landbouw!E8</f>
        <v>4.9973019983128921</v>
      </c>
      <c r="G22" s="711">
        <f>+landbouw!F8</f>
        <v>2450.9557051960628</v>
      </c>
      <c r="H22" s="711">
        <f>+landbouw!G8</f>
        <v>0</v>
      </c>
      <c r="I22" s="711">
        <f>+landbouw!H8</f>
        <v>0</v>
      </c>
      <c r="J22" s="711">
        <f>+landbouw!I8</f>
        <v>0</v>
      </c>
      <c r="K22" s="711">
        <f>+landbouw!J8</f>
        <v>42.617898551613372</v>
      </c>
      <c r="L22" s="711">
        <f>+landbouw!K8</f>
        <v>0</v>
      </c>
      <c r="M22" s="711">
        <f>+landbouw!L8</f>
        <v>0</v>
      </c>
      <c r="N22" s="711">
        <f>+landbouw!M8</f>
        <v>0</v>
      </c>
      <c r="O22" s="711">
        <f>+landbouw!N8</f>
        <v>0</v>
      </c>
      <c r="P22" s="711">
        <f>+landbouw!O8</f>
        <v>0</v>
      </c>
      <c r="Q22" s="712">
        <f>+landbouw!P8</f>
        <v>0</v>
      </c>
      <c r="R22" s="713">
        <f>SUM(C22:Q22)</f>
        <v>10351.481399400189</v>
      </c>
      <c r="S22" s="67"/>
    </row>
    <row r="23" spans="1:19" s="457" customFormat="1" ht="17.25" thickTop="1" thickBot="1">
      <c r="A23" s="718" t="s">
        <v>116</v>
      </c>
      <c r="B23" s="852"/>
      <c r="C23" s="719">
        <f ca="1">C20+C15+C22</f>
        <v>105052.28834953209</v>
      </c>
      <c r="D23" s="719">
        <f t="shared" ref="D23:Q23" ca="1" si="2">D20+D15+D22</f>
        <v>34362.857142857145</v>
      </c>
      <c r="E23" s="719">
        <f t="shared" ca="1" si="2"/>
        <v>102613.71862310477</v>
      </c>
      <c r="F23" s="719">
        <f t="shared" si="2"/>
        <v>3257.5771293173352</v>
      </c>
      <c r="G23" s="719">
        <f t="shared" ca="1" si="2"/>
        <v>13976.058651568255</v>
      </c>
      <c r="H23" s="719">
        <f t="shared" si="2"/>
        <v>218221.77925731745</v>
      </c>
      <c r="I23" s="719">
        <f t="shared" si="2"/>
        <v>27974.622065484091</v>
      </c>
      <c r="J23" s="719">
        <f t="shared" si="2"/>
        <v>0</v>
      </c>
      <c r="K23" s="719">
        <f t="shared" si="2"/>
        <v>178.17387038976696</v>
      </c>
      <c r="L23" s="719">
        <f t="shared" si="2"/>
        <v>0</v>
      </c>
      <c r="M23" s="719">
        <f t="shared" ca="1" si="2"/>
        <v>0</v>
      </c>
      <c r="N23" s="719">
        <f t="shared" si="2"/>
        <v>10716.152899708155</v>
      </c>
      <c r="O23" s="719">
        <f t="shared" ca="1" si="2"/>
        <v>7451.4126524064277</v>
      </c>
      <c r="P23" s="719">
        <f t="shared" si="2"/>
        <v>90.673333333333346</v>
      </c>
      <c r="Q23" s="720">
        <f t="shared" si="2"/>
        <v>133.46666666666667</v>
      </c>
      <c r="R23" s="721">
        <f ca="1">R20+R15+R22</f>
        <v>524028.78064168547</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59"/>
      <c r="B27" s="1059"/>
      <c r="C27" s="1059"/>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60"/>
      <c r="B29" s="1060"/>
      <c r="C29" s="1060"/>
      <c r="D29" s="1060"/>
      <c r="E29" s="1060"/>
      <c r="F29" s="1060"/>
      <c r="G29" s="1060"/>
      <c r="H29" s="1060"/>
      <c r="I29" s="1060"/>
      <c r="J29" s="1060"/>
      <c r="K29" s="1060"/>
      <c r="L29" s="1060"/>
      <c r="M29" s="1060"/>
      <c r="N29" s="1060"/>
      <c r="O29" s="1060"/>
      <c r="P29" s="1060"/>
      <c r="Q29" s="1060"/>
      <c r="R29" s="1060"/>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61"/>
      <c r="B31" s="870"/>
      <c r="C31" s="1063" t="s">
        <v>348</v>
      </c>
      <c r="D31" s="1064"/>
      <c r="E31" s="1064"/>
      <c r="F31" s="1064"/>
      <c r="G31" s="1064"/>
      <c r="H31" s="1064"/>
      <c r="I31" s="1064"/>
      <c r="J31" s="1064"/>
      <c r="K31" s="1064"/>
      <c r="L31" s="1064"/>
      <c r="M31" s="1064"/>
      <c r="N31" s="1064"/>
      <c r="O31" s="1064"/>
      <c r="P31" s="1064"/>
      <c r="Q31" s="1064"/>
      <c r="R31" s="1065"/>
    </row>
    <row r="32" spans="1:19" ht="16.5" thickTop="1">
      <c r="A32" s="1062"/>
      <c r="B32" s="871"/>
      <c r="C32" s="1066" t="s">
        <v>21</v>
      </c>
      <c r="D32" s="1068" t="s">
        <v>233</v>
      </c>
      <c r="E32" s="1070" t="s">
        <v>198</v>
      </c>
      <c r="F32" s="1071"/>
      <c r="G32" s="1071"/>
      <c r="H32" s="1071"/>
      <c r="I32" s="1071"/>
      <c r="J32" s="1071"/>
      <c r="K32" s="1071"/>
      <c r="L32" s="1072"/>
      <c r="M32" s="1070" t="s">
        <v>199</v>
      </c>
      <c r="N32" s="1071"/>
      <c r="O32" s="1071"/>
      <c r="P32" s="1071"/>
      <c r="Q32" s="1071"/>
      <c r="R32" s="1073" t="s">
        <v>116</v>
      </c>
    </row>
    <row r="33" spans="1:18" ht="45.75" thickBot="1">
      <c r="A33" s="1062"/>
      <c r="B33" s="871"/>
      <c r="C33" s="1067"/>
      <c r="D33" s="1069"/>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74"/>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7099.5872572586168</v>
      </c>
      <c r="D36" s="702">
        <f ca="1">tertiair!C20</f>
        <v>0</v>
      </c>
      <c r="E36" s="702">
        <f ca="1">tertiair!D20</f>
        <v>6975.8806985924693</v>
      </c>
      <c r="F36" s="702">
        <f>tertiair!E20</f>
        <v>105.22620238548463</v>
      </c>
      <c r="G36" s="702">
        <f ca="1">tertiair!F20</f>
        <v>1486.2629204148782</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15666.957078651451</v>
      </c>
    </row>
    <row r="37" spans="1:18">
      <c r="A37" s="873" t="s">
        <v>226</v>
      </c>
      <c r="B37" s="880"/>
      <c r="C37" s="702">
        <f ca="1">huishoudens!B12</f>
        <v>5113.8374596694184</v>
      </c>
      <c r="D37" s="702">
        <f ca="1">huishoudens!C12</f>
        <v>0</v>
      </c>
      <c r="E37" s="702">
        <f>huishoudens!D12</f>
        <v>12656.735464113432</v>
      </c>
      <c r="F37" s="702">
        <f>huishoudens!E12</f>
        <v>330.10224856153815</v>
      </c>
      <c r="G37" s="702">
        <f>huishoudens!F12</f>
        <v>0</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18100.675172344389</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10782.0943836967</v>
      </c>
      <c r="D39" s="702">
        <f ca="1">industrie!C22</f>
        <v>6413.4151260504223</v>
      </c>
      <c r="E39" s="702">
        <f>industrie!D22</f>
        <v>1093.7387894314365</v>
      </c>
      <c r="F39" s="702">
        <f>industrie!E22</f>
        <v>80.490733807313433</v>
      </c>
      <c r="G39" s="702">
        <f>industrie!F22</f>
        <v>1590.9395662664976</v>
      </c>
      <c r="H39" s="702">
        <f>industrie!G22</f>
        <v>0</v>
      </c>
      <c r="I39" s="702">
        <f>industrie!H22</f>
        <v>0</v>
      </c>
      <c r="J39" s="702">
        <f>industrie!I22</f>
        <v>0</v>
      </c>
      <c r="K39" s="702">
        <f>industrie!J22</f>
        <v>47.98681403070637</v>
      </c>
      <c r="L39" s="702">
        <f>industrie!K22</f>
        <v>0</v>
      </c>
      <c r="M39" s="702">
        <f>industrie!L22</f>
        <v>0</v>
      </c>
      <c r="N39" s="702">
        <f>industrie!M22</f>
        <v>0</v>
      </c>
      <c r="O39" s="702">
        <f>industrie!N22</f>
        <v>0</v>
      </c>
      <c r="P39" s="702">
        <f>industrie!O22</f>
        <v>0</v>
      </c>
      <c r="Q39" s="812">
        <f>industrie!P22</f>
        <v>0</v>
      </c>
      <c r="R39" s="906">
        <f ca="1">SUM(C39:Q39)</f>
        <v>20008.665413283077</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22995.519100624733</v>
      </c>
      <c r="D41" s="747">
        <f t="shared" ref="D41:R41" ca="1" si="4">SUM(D35:D40)</f>
        <v>6413.4151260504223</v>
      </c>
      <c r="E41" s="747">
        <f t="shared" ca="1" si="4"/>
        <v>20726.354952137339</v>
      </c>
      <c r="F41" s="747">
        <f t="shared" si="4"/>
        <v>515.81918475433622</v>
      </c>
      <c r="G41" s="747">
        <f t="shared" ca="1" si="4"/>
        <v>3077.2024866813758</v>
      </c>
      <c r="H41" s="747">
        <f t="shared" si="4"/>
        <v>0</v>
      </c>
      <c r="I41" s="747">
        <f t="shared" si="4"/>
        <v>0</v>
      </c>
      <c r="J41" s="747">
        <f t="shared" si="4"/>
        <v>0</v>
      </c>
      <c r="K41" s="747">
        <f t="shared" si="4"/>
        <v>47.98681403070637</v>
      </c>
      <c r="L41" s="747">
        <f t="shared" si="4"/>
        <v>0</v>
      </c>
      <c r="M41" s="747">
        <f t="shared" ca="1" si="4"/>
        <v>0</v>
      </c>
      <c r="N41" s="747">
        <f t="shared" si="4"/>
        <v>0</v>
      </c>
      <c r="O41" s="747">
        <f t="shared" ca="1" si="4"/>
        <v>0</v>
      </c>
      <c r="P41" s="747">
        <f t="shared" si="4"/>
        <v>0</v>
      </c>
      <c r="Q41" s="748">
        <f t="shared" si="4"/>
        <v>0</v>
      </c>
      <c r="R41" s="749">
        <f t="shared" ca="1" si="4"/>
        <v>53776.297664278914</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676.95972436284501</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676.95972436284501</v>
      </c>
    </row>
    <row r="45" spans="1:18" ht="15" thickBot="1">
      <c r="A45" s="876" t="s">
        <v>308</v>
      </c>
      <c r="B45" s="886"/>
      <c r="C45" s="711">
        <f ca="1">transport!B18</f>
        <v>0.38008650690112611</v>
      </c>
      <c r="D45" s="711">
        <f>transport!C18</f>
        <v>0</v>
      </c>
      <c r="E45" s="711">
        <f>transport!D18</f>
        <v>1.6162097298281157</v>
      </c>
      <c r="F45" s="711">
        <f>transport!E18</f>
        <v>222.51643604708181</v>
      </c>
      <c r="G45" s="711">
        <f>transport!F18</f>
        <v>0</v>
      </c>
      <c r="H45" s="711">
        <f>transport!G18</f>
        <v>57588.255337340925</v>
      </c>
      <c r="I45" s="711">
        <f>transport!H18</f>
        <v>6965.6808943055385</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64778.44896393027</v>
      </c>
    </row>
    <row r="46" spans="1:18" ht="15.75" thickBot="1">
      <c r="A46" s="874" t="s">
        <v>231</v>
      </c>
      <c r="B46" s="887"/>
      <c r="C46" s="747">
        <f t="shared" ref="C46:R46" ca="1" si="5">SUM(C43:C45)</f>
        <v>0.38008650690112611</v>
      </c>
      <c r="D46" s="747">
        <f t="shared" ca="1" si="5"/>
        <v>0</v>
      </c>
      <c r="E46" s="747">
        <f t="shared" si="5"/>
        <v>1.6162097298281157</v>
      </c>
      <c r="F46" s="747">
        <f t="shared" si="5"/>
        <v>222.51643604708181</v>
      </c>
      <c r="G46" s="747">
        <f t="shared" si="5"/>
        <v>0</v>
      </c>
      <c r="H46" s="747">
        <f t="shared" si="5"/>
        <v>58265.21506170377</v>
      </c>
      <c r="I46" s="747">
        <f t="shared" si="5"/>
        <v>6965.6808943055385</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65455.408688293115</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104.93469970277276</v>
      </c>
      <c r="D48" s="702">
        <f ca="1">+landbouw!C12</f>
        <v>1752.8168067226895</v>
      </c>
      <c r="E48" s="702">
        <f>+landbouw!D12</f>
        <v>0</v>
      </c>
      <c r="F48" s="702">
        <f>+landbouw!E12</f>
        <v>1.1343875536170265</v>
      </c>
      <c r="G48" s="702">
        <f>+landbouw!F12</f>
        <v>654.40517328734882</v>
      </c>
      <c r="H48" s="702">
        <f>+landbouw!G12</f>
        <v>0</v>
      </c>
      <c r="I48" s="702">
        <f>+landbouw!H12</f>
        <v>0</v>
      </c>
      <c r="J48" s="702">
        <f>+landbouw!I12</f>
        <v>0</v>
      </c>
      <c r="K48" s="702">
        <f>+landbouw!J12</f>
        <v>15.086736087271133</v>
      </c>
      <c r="L48" s="702">
        <f>+landbouw!K12</f>
        <v>0</v>
      </c>
      <c r="M48" s="702">
        <f>+landbouw!L12</f>
        <v>0</v>
      </c>
      <c r="N48" s="702">
        <f>+landbouw!M12</f>
        <v>0</v>
      </c>
      <c r="O48" s="702">
        <f>+landbouw!N12</f>
        <v>0</v>
      </c>
      <c r="P48" s="702">
        <f>+landbouw!O12</f>
        <v>0</v>
      </c>
      <c r="Q48" s="703">
        <f>+landbouw!P12</f>
        <v>0</v>
      </c>
      <c r="R48" s="745">
        <f ca="1">SUM(C48:Q48)</f>
        <v>2528.3778033536996</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84"/>
      <c r="D50" s="1085"/>
      <c r="E50" s="1085"/>
      <c r="F50" s="1085"/>
      <c r="G50" s="1085"/>
      <c r="H50" s="1085"/>
      <c r="I50" s="1085"/>
      <c r="J50" s="1085"/>
      <c r="K50" s="1085"/>
      <c r="L50" s="1085"/>
      <c r="M50" s="1085"/>
      <c r="N50" s="1085"/>
      <c r="O50" s="1085"/>
      <c r="P50" s="1085"/>
      <c r="Q50" s="1085"/>
      <c r="R50" s="754"/>
    </row>
    <row r="51" spans="1:18" ht="15">
      <c r="A51" s="878" t="s">
        <v>240</v>
      </c>
      <c r="B51" s="863"/>
      <c r="C51" s="1086"/>
      <c r="D51" s="1087"/>
      <c r="E51" s="1087"/>
      <c r="F51" s="1087"/>
      <c r="G51" s="1087"/>
      <c r="H51" s="1087"/>
      <c r="I51" s="1087"/>
      <c r="J51" s="1087"/>
      <c r="K51" s="1087"/>
      <c r="L51" s="1087"/>
      <c r="M51" s="1087"/>
      <c r="N51" s="1087"/>
      <c r="O51" s="1087"/>
      <c r="P51" s="1087"/>
      <c r="Q51" s="1087"/>
      <c r="R51" s="755"/>
    </row>
    <row r="52" spans="1:18" ht="15" thickBot="1">
      <c r="A52" s="890" t="s">
        <v>241</v>
      </c>
      <c r="B52" s="891"/>
      <c r="C52" s="1086"/>
      <c r="D52" s="1087"/>
      <c r="E52" s="1087"/>
      <c r="F52" s="1087"/>
      <c r="G52" s="1087"/>
      <c r="H52" s="1087"/>
      <c r="I52" s="1087"/>
      <c r="J52" s="1087"/>
      <c r="K52" s="1087"/>
      <c r="L52" s="1087"/>
      <c r="M52" s="1087"/>
      <c r="N52" s="1087"/>
      <c r="O52" s="1087"/>
      <c r="P52" s="1087"/>
      <c r="Q52" s="1087"/>
      <c r="R52" s="746"/>
    </row>
    <row r="53" spans="1:18" ht="16.5" thickBot="1">
      <c r="A53" s="894" t="s">
        <v>116</v>
      </c>
      <c r="B53" s="895"/>
      <c r="C53" s="756">
        <f ca="1">C41+C46+C48</f>
        <v>23100.833886834407</v>
      </c>
      <c r="D53" s="757">
        <f t="shared" ref="D53:Q53" ca="1" si="6">D41+D46+D48</f>
        <v>8166.231932773112</v>
      </c>
      <c r="E53" s="757">
        <f t="shared" ca="1" si="6"/>
        <v>20727.971161867168</v>
      </c>
      <c r="F53" s="757">
        <f t="shared" si="6"/>
        <v>739.47000835503502</v>
      </c>
      <c r="G53" s="757">
        <f t="shared" ca="1" si="6"/>
        <v>3731.6076599687249</v>
      </c>
      <c r="H53" s="757">
        <f t="shared" si="6"/>
        <v>58265.21506170377</v>
      </c>
      <c r="I53" s="757">
        <f t="shared" si="6"/>
        <v>6965.6808943055385</v>
      </c>
      <c r="J53" s="757">
        <f t="shared" si="6"/>
        <v>0</v>
      </c>
      <c r="K53" s="757">
        <f t="shared" si="6"/>
        <v>63.073550117977504</v>
      </c>
      <c r="L53" s="757">
        <f t="shared" si="6"/>
        <v>0</v>
      </c>
      <c r="M53" s="757">
        <f t="shared" ca="1" si="6"/>
        <v>0</v>
      </c>
      <c r="N53" s="757">
        <f t="shared" si="6"/>
        <v>0</v>
      </c>
      <c r="O53" s="757">
        <f t="shared" ca="1" si="6"/>
        <v>0</v>
      </c>
      <c r="P53" s="757">
        <f>P41+P46+P48</f>
        <v>0</v>
      </c>
      <c r="Q53" s="758">
        <f t="shared" si="6"/>
        <v>0</v>
      </c>
      <c r="R53" s="759">
        <f ca="1">R41+R46+R48</f>
        <v>121760.08415592572</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0.21989843581486629</v>
      </c>
      <c r="D55" s="823">
        <f t="shared" ca="1" si="7"/>
        <v>0.23764705882352949</v>
      </c>
      <c r="E55" s="823">
        <f t="shared" ca="1" si="7"/>
        <v>0.20200000000000004</v>
      </c>
      <c r="F55" s="823">
        <f t="shared" si="7"/>
        <v>0.22699999999999998</v>
      </c>
      <c r="G55" s="823">
        <f t="shared" ca="1" si="7"/>
        <v>0.26700000000000007</v>
      </c>
      <c r="H55" s="823">
        <f t="shared" si="7"/>
        <v>0.26700000000000007</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60"/>
      <c r="B59" s="1060"/>
      <c r="C59" s="1060"/>
      <c r="D59" s="1060"/>
      <c r="E59" s="1060"/>
      <c r="F59" s="1060"/>
      <c r="G59" s="1060"/>
      <c r="H59" s="1060"/>
      <c r="I59" s="1060"/>
      <c r="J59" s="1060"/>
      <c r="K59" s="1060"/>
      <c r="L59" s="1060"/>
      <c r="M59" s="1060"/>
      <c r="N59" s="1060"/>
      <c r="O59" s="1060"/>
      <c r="P59" s="1060"/>
      <c r="Q59" s="1060"/>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73" t="s">
        <v>242</v>
      </c>
      <c r="B61" s="1098" t="s">
        <v>352</v>
      </c>
      <c r="C61" s="1089"/>
      <c r="D61" s="1095" t="s">
        <v>353</v>
      </c>
      <c r="E61" s="1096"/>
      <c r="F61" s="1096"/>
      <c r="G61" s="1096"/>
      <c r="H61" s="1096"/>
      <c r="I61" s="1096"/>
      <c r="J61" s="1096"/>
      <c r="K61" s="1096"/>
      <c r="L61" s="1096"/>
      <c r="M61" s="1097"/>
      <c r="N61" s="1089" t="s">
        <v>663</v>
      </c>
      <c r="O61" s="1100" t="s">
        <v>662</v>
      </c>
      <c r="P61" s="1101"/>
      <c r="Q61" s="769"/>
      <c r="R61" s="726"/>
    </row>
    <row r="62" spans="1:18" ht="31.5" thickTop="1" thickBot="1">
      <c r="A62" s="1088"/>
      <c r="B62" s="1099"/>
      <c r="C62" s="1091"/>
      <c r="D62" s="1092" t="s">
        <v>198</v>
      </c>
      <c r="E62" s="1093"/>
      <c r="F62" s="1093"/>
      <c r="G62" s="1093"/>
      <c r="H62" s="1094"/>
      <c r="I62" s="770" t="s">
        <v>246</v>
      </c>
      <c r="J62" s="771" t="s">
        <v>247</v>
      </c>
      <c r="K62" s="771" t="s">
        <v>235</v>
      </c>
      <c r="L62" s="771" t="s">
        <v>248</v>
      </c>
      <c r="M62" s="1105" t="s">
        <v>127</v>
      </c>
      <c r="N62" s="1090"/>
      <c r="O62" s="914"/>
      <c r="P62" s="915"/>
      <c r="Q62" s="769"/>
      <c r="R62" s="726"/>
    </row>
    <row r="63" spans="1:18" ht="95.25" customHeight="1" thickTop="1" thickBot="1">
      <c r="A63" s="1074"/>
      <c r="B63" s="842" t="s">
        <v>568</v>
      </c>
      <c r="C63" s="842" t="s">
        <v>661</v>
      </c>
      <c r="D63" s="772" t="s">
        <v>200</v>
      </c>
      <c r="E63" s="773" t="s">
        <v>201</v>
      </c>
      <c r="F63" s="774" t="s">
        <v>202</v>
      </c>
      <c r="G63" s="775" t="s">
        <v>204</v>
      </c>
      <c r="H63" s="776" t="s">
        <v>205</v>
      </c>
      <c r="I63" s="777"/>
      <c r="J63" s="773"/>
      <c r="K63" s="773"/>
      <c r="L63" s="773"/>
      <c r="M63" s="1106"/>
      <c r="N63" s="1091"/>
      <c r="O63" s="845" t="s">
        <v>664</v>
      </c>
      <c r="P63" s="843" t="s">
        <v>665</v>
      </c>
      <c r="Q63" s="769"/>
      <c r="R63" s="726"/>
    </row>
    <row r="64" spans="1:18" ht="15.75" thickTop="1">
      <c r="A64" s="778" t="s">
        <v>250</v>
      </c>
      <c r="B64" s="896">
        <f>'lokale energieproductie'!B4</f>
        <v>0</v>
      </c>
      <c r="C64" s="779">
        <f>'lokale energieproductie'!B4</f>
        <v>0</v>
      </c>
      <c r="D64" s="1107"/>
      <c r="E64" s="1075"/>
      <c r="F64" s="1075"/>
      <c r="G64" s="1078"/>
      <c r="H64" s="1081"/>
      <c r="I64" s="780"/>
      <c r="J64" s="780"/>
      <c r="K64" s="780"/>
      <c r="L64" s="780"/>
      <c r="M64" s="1102"/>
      <c r="N64" s="909">
        <v>0</v>
      </c>
      <c r="O64" s="916"/>
      <c r="P64" s="909">
        <v>0</v>
      </c>
      <c r="Q64" s="769"/>
      <c r="R64" s="767"/>
    </row>
    <row r="65" spans="1:18" ht="15">
      <c r="A65" s="781" t="s">
        <v>251</v>
      </c>
      <c r="B65" s="778">
        <f>'lokale energieproductie'!B5</f>
        <v>0</v>
      </c>
      <c r="C65" s="779">
        <f>'lokale energieproductie'!B5</f>
        <v>0</v>
      </c>
      <c r="D65" s="1108"/>
      <c r="E65" s="1076"/>
      <c r="F65" s="1076"/>
      <c r="G65" s="1079"/>
      <c r="H65" s="1082"/>
      <c r="I65" s="782"/>
      <c r="J65" s="782"/>
      <c r="K65" s="782"/>
      <c r="L65" s="782"/>
      <c r="M65" s="1103"/>
      <c r="N65" s="910">
        <v>0</v>
      </c>
      <c r="O65" s="916"/>
      <c r="P65" s="910">
        <v>0</v>
      </c>
      <c r="Q65" s="769"/>
      <c r="R65" s="732"/>
    </row>
    <row r="66" spans="1:18" ht="15">
      <c r="A66" s="781" t="s">
        <v>252</v>
      </c>
      <c r="B66" s="778">
        <f>'lokale energieproductie'!B6</f>
        <v>2335.5212278432873</v>
      </c>
      <c r="C66" s="779">
        <f>'lokale energieproductie'!B6</f>
        <v>2335.5212278432873</v>
      </c>
      <c r="D66" s="1109"/>
      <c r="E66" s="1077"/>
      <c r="F66" s="1077"/>
      <c r="G66" s="1080"/>
      <c r="H66" s="1083"/>
      <c r="I66" s="783"/>
      <c r="J66" s="783"/>
      <c r="K66" s="783"/>
      <c r="L66" s="783"/>
      <c r="M66" s="1104"/>
      <c r="N66" s="910">
        <v>0</v>
      </c>
      <c r="O66" s="916"/>
      <c r="P66" s="910">
        <v>0</v>
      </c>
      <c r="Q66" s="769"/>
      <c r="R66" s="767"/>
    </row>
    <row r="67" spans="1:18" ht="15">
      <c r="A67" s="784" t="s">
        <v>253</v>
      </c>
      <c r="B67" s="778">
        <f>'lokale energieproductie'!B7</f>
        <v>24054</v>
      </c>
      <c r="C67" s="778">
        <f>B67*IFERROR(SUM(J67:L67)/SUM(D67:M67),0)</f>
        <v>0</v>
      </c>
      <c r="D67" s="810">
        <f>'lokale energieproductie'!C7</f>
        <v>28298.823529411766</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5716.3623529411771</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26389.521227843288</v>
      </c>
      <c r="C69" s="787">
        <f>SUM(C64:C68)</f>
        <v>2335.5212278432873</v>
      </c>
      <c r="D69" s="788">
        <f t="shared" ref="D69:M69" si="8">SUM(D67:D68)</f>
        <v>28298.823529411766</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5716.3623529411771</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60"/>
      <c r="B73" s="1060"/>
      <c r="C73" s="1060"/>
      <c r="D73" s="1060"/>
      <c r="E73" s="1060"/>
      <c r="F73" s="1060"/>
      <c r="G73" s="1060"/>
      <c r="H73" s="1060"/>
      <c r="I73" s="1060"/>
      <c r="J73" s="1060"/>
      <c r="K73" s="1060"/>
      <c r="L73" s="1060"/>
      <c r="M73" s="1060"/>
      <c r="N73" s="1060"/>
      <c r="O73" s="1060"/>
      <c r="P73" s="1060"/>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73" t="s">
        <v>254</v>
      </c>
      <c r="B75" s="1098" t="s">
        <v>356</v>
      </c>
      <c r="C75" s="1089"/>
      <c r="D75" s="1095" t="s">
        <v>357</v>
      </c>
      <c r="E75" s="1096"/>
      <c r="F75" s="1096"/>
      <c r="G75" s="1096"/>
      <c r="H75" s="1096"/>
      <c r="I75" s="1096"/>
      <c r="J75" s="1096"/>
      <c r="K75" s="1096"/>
      <c r="L75" s="1096"/>
      <c r="M75" s="1097"/>
      <c r="N75" s="1089" t="s">
        <v>663</v>
      </c>
      <c r="O75" s="1098" t="s">
        <v>662</v>
      </c>
      <c r="P75" s="1089"/>
      <c r="Q75" s="796"/>
      <c r="R75" s="726"/>
    </row>
    <row r="76" spans="1:18" ht="16.5" thickTop="1" thickBot="1">
      <c r="A76" s="1088"/>
      <c r="B76" s="1115"/>
      <c r="C76" s="1090"/>
      <c r="D76" s="1110" t="s">
        <v>198</v>
      </c>
      <c r="E76" s="1111"/>
      <c r="F76" s="1111"/>
      <c r="G76" s="1111"/>
      <c r="H76" s="1112"/>
      <c r="I76" s="1113" t="s">
        <v>246</v>
      </c>
      <c r="J76" s="1113" t="s">
        <v>247</v>
      </c>
      <c r="K76" s="1068" t="s">
        <v>235</v>
      </c>
      <c r="L76" s="1117" t="s">
        <v>258</v>
      </c>
      <c r="M76" s="1105" t="s">
        <v>127</v>
      </c>
      <c r="N76" s="1090"/>
      <c r="O76" s="914"/>
      <c r="P76" s="915"/>
      <c r="Q76" s="796"/>
      <c r="R76" s="726"/>
    </row>
    <row r="77" spans="1:18" ht="110.25" customHeight="1" thickTop="1" thickBot="1">
      <c r="A77" s="1074"/>
      <c r="B77" s="897" t="s">
        <v>568</v>
      </c>
      <c r="C77" s="897" t="s">
        <v>661</v>
      </c>
      <c r="D77" s="797" t="s">
        <v>200</v>
      </c>
      <c r="E77" s="773" t="s">
        <v>201</v>
      </c>
      <c r="F77" s="798" t="s">
        <v>202</v>
      </c>
      <c r="G77" s="773" t="s">
        <v>204</v>
      </c>
      <c r="H77" s="799" t="s">
        <v>205</v>
      </c>
      <c r="I77" s="1114"/>
      <c r="J77" s="1114"/>
      <c r="K77" s="1116"/>
      <c r="L77" s="1069"/>
      <c r="M77" s="1118"/>
      <c r="N77" s="1091"/>
      <c r="O77" s="845" t="s">
        <v>664</v>
      </c>
      <c r="P77" s="843" t="s">
        <v>665</v>
      </c>
      <c r="Q77" s="796"/>
      <c r="R77" s="726"/>
    </row>
    <row r="78" spans="1:18" ht="15.75" thickTop="1">
      <c r="A78" s="800" t="s">
        <v>253</v>
      </c>
      <c r="B78" s="801">
        <f>'lokale energieproductie'!B16</f>
        <v>34362.857142857145</v>
      </c>
      <c r="C78" s="801">
        <f>B78*IFERROR(SUM(I78:L78)/SUM(D78:M78),0)</f>
        <v>0</v>
      </c>
      <c r="D78" s="816">
        <f>'lokale energieproductie'!C16</f>
        <v>40426.890756302528</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8166.2319327731111</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34362.857142857145</v>
      </c>
      <c r="C81" s="787">
        <f>SUM(C78:C80)</f>
        <v>0</v>
      </c>
      <c r="D81" s="787">
        <f t="shared" ref="D81:P81" si="9">SUM(D78:D80)</f>
        <v>40426.890756302528</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8166.2319327731111</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50"/>
  <sheetViews>
    <sheetView topLeftCell="A34" workbookViewId="0">
      <selection activeCell="C50" sqref="C50"/>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856</v>
      </c>
      <c r="D42" s="819" t="s">
        <v>745</v>
      </c>
    </row>
    <row r="43" spans="1:4">
      <c r="A43" t="s">
        <v>798</v>
      </c>
      <c r="B43" s="952">
        <v>42877</v>
      </c>
      <c r="C43" s="952" t="s">
        <v>857</v>
      </c>
      <c r="D43" s="833" t="s">
        <v>799</v>
      </c>
    </row>
    <row r="44" spans="1:4">
      <c r="A44" t="s">
        <v>798</v>
      </c>
      <c r="B44" s="952">
        <v>42877</v>
      </c>
      <c r="C44" s="952" t="s">
        <v>858</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883</v>
      </c>
      <c r="D49" s="833"/>
    </row>
    <row r="50" spans="1:4">
      <c r="A50" t="s">
        <v>918</v>
      </c>
      <c r="B50" s="952">
        <v>43424</v>
      </c>
      <c r="C50" s="952" t="s">
        <v>919</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D28" sqref="D28"/>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19" t="s">
        <v>563</v>
      </c>
      <c r="B1" s="1120" t="s">
        <v>559</v>
      </c>
      <c r="C1" s="1120"/>
      <c r="D1" s="1120"/>
      <c r="E1" s="1120"/>
      <c r="F1" s="1120"/>
      <c r="G1" s="1120"/>
      <c r="H1" s="1120"/>
      <c r="I1" s="1120"/>
      <c r="J1" s="1120"/>
      <c r="K1" s="1120"/>
      <c r="L1" s="1120"/>
      <c r="M1" s="1120"/>
      <c r="N1" s="1120"/>
      <c r="O1" s="1120"/>
      <c r="P1" s="1121"/>
      <c r="Q1" s="458"/>
    </row>
    <row r="2" spans="1:17">
      <c r="A2" s="1119"/>
      <c r="B2" s="1122" t="s">
        <v>21</v>
      </c>
      <c r="C2" s="1124" t="s">
        <v>197</v>
      </c>
      <c r="D2" s="1126" t="s">
        <v>198</v>
      </c>
      <c r="E2" s="1127"/>
      <c r="F2" s="1127"/>
      <c r="G2" s="1127"/>
      <c r="H2" s="1127"/>
      <c r="I2" s="1127"/>
      <c r="J2" s="1127"/>
      <c r="K2" s="1123"/>
      <c r="L2" s="1126" t="s">
        <v>199</v>
      </c>
      <c r="M2" s="1127"/>
      <c r="N2" s="1127"/>
      <c r="O2" s="1127"/>
      <c r="P2" s="1123"/>
      <c r="Q2" s="458"/>
    </row>
    <row r="3" spans="1:17" ht="45">
      <c r="A3" s="1119"/>
      <c r="B3" s="1123"/>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23255.451730337849</v>
      </c>
      <c r="C4" s="461">
        <f>huishoudens!C8</f>
        <v>0</v>
      </c>
      <c r="D4" s="461">
        <f>huishoudens!D8</f>
        <v>62657.106257987281</v>
      </c>
      <c r="E4" s="461">
        <f>huishoudens!E8</f>
        <v>1454.1949275838683</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6048.2589911010791</v>
      </c>
      <c r="O4" s="461">
        <f>huishoudens!O8</f>
        <v>90.673333333333346</v>
      </c>
      <c r="P4" s="462">
        <f>huishoudens!P8</f>
        <v>114.4</v>
      </c>
      <c r="Q4" s="463">
        <f>SUM(B4:P4)</f>
        <v>93620.085240343411</v>
      </c>
    </row>
    <row r="5" spans="1:17">
      <c r="A5" s="460" t="s">
        <v>156</v>
      </c>
      <c r="B5" s="461">
        <f ca="1">tertiair!B16</f>
        <v>31395.865062566081</v>
      </c>
      <c r="C5" s="461">
        <f ca="1">tertiair!C16</f>
        <v>0</v>
      </c>
      <c r="D5" s="461">
        <f ca="1">tertiair!D16</f>
        <v>34534.062864319152</v>
      </c>
      <c r="E5" s="461">
        <f>tertiair!E16</f>
        <v>463.55155235896308</v>
      </c>
      <c r="F5" s="461">
        <f ca="1">tertiair!F16</f>
        <v>5566.5277918160227</v>
      </c>
      <c r="G5" s="461">
        <f>tertiair!G16</f>
        <v>0</v>
      </c>
      <c r="H5" s="461">
        <f>tertiair!H16</f>
        <v>0</v>
      </c>
      <c r="I5" s="461">
        <f>tertiair!I16</f>
        <v>0</v>
      </c>
      <c r="J5" s="461">
        <f>tertiair!J16</f>
        <v>0</v>
      </c>
      <c r="K5" s="461">
        <f>tertiair!K16</f>
        <v>0</v>
      </c>
      <c r="L5" s="461">
        <f ca="1">tertiair!L16</f>
        <v>0</v>
      </c>
      <c r="M5" s="461">
        <f>tertiair!M16</f>
        <v>0</v>
      </c>
      <c r="N5" s="461">
        <f ca="1">tertiair!N16</f>
        <v>930.2172906558186</v>
      </c>
      <c r="O5" s="461">
        <f>tertiair!O16</f>
        <v>0</v>
      </c>
      <c r="P5" s="462">
        <f>tertiair!P16</f>
        <v>19.066666666666666</v>
      </c>
      <c r="Q5" s="460">
        <f t="shared" ref="Q5:Q13" ca="1" si="0">SUM(B5:P5)</f>
        <v>72909.291228382688</v>
      </c>
    </row>
    <row r="6" spans="1:17">
      <c r="A6" s="460" t="s">
        <v>195</v>
      </c>
      <c r="B6" s="461">
        <f>'openbare verlichting'!B8</f>
        <v>889.89099999999996</v>
      </c>
      <c r="C6" s="461"/>
      <c r="D6" s="461"/>
      <c r="E6" s="461"/>
      <c r="F6" s="461"/>
      <c r="G6" s="461"/>
      <c r="H6" s="461"/>
      <c r="I6" s="461"/>
      <c r="J6" s="461"/>
      <c r="K6" s="461"/>
      <c r="L6" s="461"/>
      <c r="M6" s="461"/>
      <c r="N6" s="461"/>
      <c r="O6" s="461"/>
      <c r="P6" s="462"/>
      <c r="Q6" s="460">
        <f t="shared" si="0"/>
        <v>889.89099999999996</v>
      </c>
    </row>
    <row r="7" spans="1:17">
      <c r="A7" s="460" t="s">
        <v>112</v>
      </c>
      <c r="B7" s="461">
        <f>landbouw!B8</f>
        <v>477.19620793991402</v>
      </c>
      <c r="C7" s="461">
        <f>landbouw!C8</f>
        <v>7375.7142857142862</v>
      </c>
      <c r="D7" s="461">
        <f>landbouw!D8</f>
        <v>0</v>
      </c>
      <c r="E7" s="461">
        <f>landbouw!E8</f>
        <v>4.9973019983128921</v>
      </c>
      <c r="F7" s="461">
        <f>landbouw!F8</f>
        <v>2450.9557051960628</v>
      </c>
      <c r="G7" s="461">
        <f>landbouw!G8</f>
        <v>0</v>
      </c>
      <c r="H7" s="461">
        <f>landbouw!H8</f>
        <v>0</v>
      </c>
      <c r="I7" s="461">
        <f>landbouw!I8</f>
        <v>0</v>
      </c>
      <c r="J7" s="461">
        <f>landbouw!J8</f>
        <v>42.617898551613372</v>
      </c>
      <c r="K7" s="461">
        <f>landbouw!K8</f>
        <v>0</v>
      </c>
      <c r="L7" s="461">
        <f>landbouw!L8</f>
        <v>0</v>
      </c>
      <c r="M7" s="461">
        <f>landbouw!M8</f>
        <v>0</v>
      </c>
      <c r="N7" s="461">
        <f>landbouw!N8</f>
        <v>0</v>
      </c>
      <c r="O7" s="461">
        <f>landbouw!O8</f>
        <v>0</v>
      </c>
      <c r="P7" s="462">
        <f>landbouw!P8</f>
        <v>0</v>
      </c>
      <c r="Q7" s="460">
        <f t="shared" si="0"/>
        <v>10351.481399400189</v>
      </c>
    </row>
    <row r="8" spans="1:17">
      <c r="A8" s="460" t="s">
        <v>656</v>
      </c>
      <c r="B8" s="461">
        <f>industrie!B18</f>
        <v>49032.15588479313</v>
      </c>
      <c r="C8" s="461">
        <f>industrie!C18</f>
        <v>26987.142857142859</v>
      </c>
      <c r="D8" s="461">
        <f>industrie!D18</f>
        <v>5414.5484625318641</v>
      </c>
      <c r="E8" s="461">
        <f>industrie!E18</f>
        <v>354.58473042869355</v>
      </c>
      <c r="F8" s="461">
        <f>industrie!F18</f>
        <v>5958.5751545561707</v>
      </c>
      <c r="G8" s="461">
        <f>industrie!G18</f>
        <v>0</v>
      </c>
      <c r="H8" s="461">
        <f>industrie!H18</f>
        <v>0</v>
      </c>
      <c r="I8" s="461">
        <f>industrie!I18</f>
        <v>0</v>
      </c>
      <c r="J8" s="461">
        <f>industrie!J18</f>
        <v>135.5559718381536</v>
      </c>
      <c r="K8" s="461">
        <f>industrie!K18</f>
        <v>0</v>
      </c>
      <c r="L8" s="461">
        <f>industrie!L18</f>
        <v>0</v>
      </c>
      <c r="M8" s="461">
        <f>industrie!M18</f>
        <v>0</v>
      </c>
      <c r="N8" s="461">
        <f>industrie!N18</f>
        <v>472.93637064952929</v>
      </c>
      <c r="O8" s="461">
        <f>industrie!O18</f>
        <v>0</v>
      </c>
      <c r="P8" s="462">
        <f>industrie!P18</f>
        <v>0</v>
      </c>
      <c r="Q8" s="460">
        <f t="shared" si="0"/>
        <v>88355.499431940392</v>
      </c>
    </row>
    <row r="9" spans="1:17" s="466" customFormat="1">
      <c r="A9" s="464" t="s">
        <v>574</v>
      </c>
      <c r="B9" s="465">
        <f>transport!B14</f>
        <v>1.7284638951280358</v>
      </c>
      <c r="C9" s="465"/>
      <c r="D9" s="465">
        <f>transport!D14</f>
        <v>8.0010382664758204</v>
      </c>
      <c r="E9" s="465">
        <f>transport!E14</f>
        <v>980.24861694749688</v>
      </c>
      <c r="F9" s="465"/>
      <c r="G9" s="465">
        <f>transport!G14</f>
        <v>215686.34957805587</v>
      </c>
      <c r="H9" s="465">
        <f>transport!H14</f>
        <v>27974.622065484091</v>
      </c>
      <c r="I9" s="465"/>
      <c r="J9" s="465"/>
      <c r="K9" s="465"/>
      <c r="L9" s="465"/>
      <c r="M9" s="465">
        <f>transport!M14</f>
        <v>10608.078547596062</v>
      </c>
      <c r="N9" s="465"/>
      <c r="O9" s="465"/>
      <c r="P9" s="465"/>
      <c r="Q9" s="464">
        <f>SUM(B9:P9)</f>
        <v>255259.02831024511</v>
      </c>
    </row>
    <row r="10" spans="1:17">
      <c r="A10" s="460" t="s">
        <v>564</v>
      </c>
      <c r="B10" s="461">
        <f>transport!B54</f>
        <v>0</v>
      </c>
      <c r="C10" s="461"/>
      <c r="D10" s="461">
        <f>transport!D54</f>
        <v>0</v>
      </c>
      <c r="E10" s="461"/>
      <c r="F10" s="461"/>
      <c r="G10" s="461">
        <f>transport!G54</f>
        <v>2535.4296792615914</v>
      </c>
      <c r="H10" s="461"/>
      <c r="I10" s="461"/>
      <c r="J10" s="461"/>
      <c r="K10" s="461"/>
      <c r="L10" s="461"/>
      <c r="M10" s="461">
        <f>transport!M54</f>
        <v>108.07435211209332</v>
      </c>
      <c r="N10" s="461"/>
      <c r="O10" s="461"/>
      <c r="P10" s="462"/>
      <c r="Q10" s="460">
        <f t="shared" si="0"/>
        <v>2643.5040313736849</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c r="D13" s="468">
        <f>'Eigen vloot'!D27</f>
        <v>0</v>
      </c>
      <c r="E13" s="468">
        <f>'Eigen vloot'!E27</f>
        <v>0</v>
      </c>
      <c r="F13" s="468"/>
      <c r="G13" s="468">
        <f>'Eigen vloot'!G27</f>
        <v>0</v>
      </c>
      <c r="H13" s="468">
        <f>'Eigen vloot'!H27</f>
        <v>0</v>
      </c>
      <c r="I13" s="468"/>
      <c r="J13" s="468"/>
      <c r="K13" s="468"/>
      <c r="L13" s="468"/>
      <c r="M13" s="468">
        <f>'Eigen vloot'!M27</f>
        <v>0</v>
      </c>
      <c r="N13" s="468"/>
      <c r="O13" s="468"/>
      <c r="P13" s="469"/>
      <c r="Q13" s="467">
        <f t="shared" si="0"/>
        <v>0</v>
      </c>
    </row>
    <row r="14" spans="1:17" s="473" customFormat="1">
      <c r="A14" s="470" t="s">
        <v>568</v>
      </c>
      <c r="B14" s="471">
        <f ca="1">SUM(B4:B13)</f>
        <v>105052.28834953211</v>
      </c>
      <c r="C14" s="471">
        <f t="shared" ref="C14:Q14" ca="1" si="1">SUM(C4:C13)</f>
        <v>34362.857142857145</v>
      </c>
      <c r="D14" s="471">
        <f t="shared" ca="1" si="1"/>
        <v>102613.71862310477</v>
      </c>
      <c r="E14" s="471">
        <f t="shared" si="1"/>
        <v>3257.5771293173348</v>
      </c>
      <c r="F14" s="471">
        <f t="shared" ca="1" si="1"/>
        <v>13976.058651568255</v>
      </c>
      <c r="G14" s="471">
        <f t="shared" si="1"/>
        <v>218221.77925731745</v>
      </c>
      <c r="H14" s="471">
        <f t="shared" si="1"/>
        <v>27974.622065484091</v>
      </c>
      <c r="I14" s="471">
        <f t="shared" si="1"/>
        <v>0</v>
      </c>
      <c r="J14" s="471">
        <f t="shared" si="1"/>
        <v>178.17387038976696</v>
      </c>
      <c r="K14" s="471">
        <f t="shared" si="1"/>
        <v>0</v>
      </c>
      <c r="L14" s="471">
        <f t="shared" ca="1" si="1"/>
        <v>0</v>
      </c>
      <c r="M14" s="471">
        <f t="shared" si="1"/>
        <v>10716.152899708155</v>
      </c>
      <c r="N14" s="471">
        <f t="shared" ca="1" si="1"/>
        <v>7451.4126524064277</v>
      </c>
      <c r="O14" s="471">
        <f t="shared" si="1"/>
        <v>90.673333333333346</v>
      </c>
      <c r="P14" s="472">
        <f t="shared" si="1"/>
        <v>133.46666666666667</v>
      </c>
      <c r="Q14" s="472">
        <f t="shared" ca="1" si="1"/>
        <v>524028.78064168553</v>
      </c>
    </row>
    <row r="16" spans="1:17">
      <c r="A16" s="474" t="s">
        <v>569</v>
      </c>
      <c r="B16" s="828">
        <f ca="1">huishoudens!B10</f>
        <v>0.21989843581486626</v>
      </c>
      <c r="C16" s="828">
        <f ca="1">huishoudens!C10</f>
        <v>0.23764705882352946</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119" t="s">
        <v>571</v>
      </c>
      <c r="B18" s="1120" t="s">
        <v>570</v>
      </c>
      <c r="C18" s="1120"/>
      <c r="D18" s="1120"/>
      <c r="E18" s="1120"/>
      <c r="F18" s="1120"/>
      <c r="G18" s="1120"/>
      <c r="H18" s="1120"/>
      <c r="I18" s="1120"/>
      <c r="J18" s="1120"/>
      <c r="K18" s="1120"/>
      <c r="L18" s="1120"/>
      <c r="M18" s="1120"/>
      <c r="N18" s="1120"/>
      <c r="O18" s="1120"/>
      <c r="P18" s="1121"/>
      <c r="Q18" s="458"/>
    </row>
    <row r="19" spans="1:17" ht="15" customHeight="1">
      <c r="A19" s="1119"/>
      <c r="B19" s="1122" t="s">
        <v>21</v>
      </c>
      <c r="C19" s="1124" t="s">
        <v>197</v>
      </c>
      <c r="D19" s="1126" t="s">
        <v>198</v>
      </c>
      <c r="E19" s="1127"/>
      <c r="F19" s="1127"/>
      <c r="G19" s="1127"/>
      <c r="H19" s="1127"/>
      <c r="I19" s="1127"/>
      <c r="J19" s="1127"/>
      <c r="K19" s="1123"/>
      <c r="L19" s="1126" t="s">
        <v>199</v>
      </c>
      <c r="M19" s="1127"/>
      <c r="N19" s="1127"/>
      <c r="O19" s="1127"/>
      <c r="P19" s="1123"/>
      <c r="Q19" s="458"/>
    </row>
    <row r="20" spans="1:17" ht="45">
      <c r="A20" s="1119"/>
      <c r="B20" s="1123"/>
      <c r="C20" s="1125"/>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5113.8374596694184</v>
      </c>
      <c r="C21" s="461">
        <f t="shared" ref="C21:C28" ca="1" si="3">C4*$C$16</f>
        <v>0</v>
      </c>
      <c r="D21" s="461">
        <f t="shared" ref="D21:D30" si="4">D4*$D$16</f>
        <v>12656.735464113432</v>
      </c>
      <c r="E21" s="461">
        <f t="shared" ref="E21:E30" si="5">E4*$E$16</f>
        <v>330.10224856153815</v>
      </c>
      <c r="F21" s="461">
        <f t="shared" ref="F21:F28" si="6">F4*$F$16</f>
        <v>0</v>
      </c>
      <c r="G21" s="461">
        <f t="shared" ref="G21:G30" si="7">G4*$G$16</f>
        <v>0</v>
      </c>
      <c r="H21" s="461">
        <f t="shared" ref="H21:H30" si="8">H4*$H$16</f>
        <v>0</v>
      </c>
      <c r="I21" s="461">
        <f t="shared" ref="I21:I28" si="9">I4*$I$16</f>
        <v>0</v>
      </c>
      <c r="J21" s="461">
        <f t="shared" ref="J21:J28" si="10">J4*$J$16</f>
        <v>0</v>
      </c>
      <c r="K21" s="461">
        <f t="shared" ref="K21:K28" si="11">K4*$K$16</f>
        <v>0</v>
      </c>
      <c r="L21" s="461">
        <f t="shared" ref="L21:L28" si="12">L4*$L$16</f>
        <v>0</v>
      </c>
      <c r="M21" s="461">
        <f t="shared" ref="M21:M30" si="13">M4*$M$16</f>
        <v>0</v>
      </c>
      <c r="N21" s="461">
        <f t="shared" ref="N21:N28" si="14">N4*$N$16</f>
        <v>0</v>
      </c>
      <c r="O21" s="461">
        <f t="shared" ref="O21:O28" si="15">O4*$O$16</f>
        <v>0</v>
      </c>
      <c r="P21" s="475">
        <f t="shared" ref="P21:P28" si="16">P4*$P$16</f>
        <v>0</v>
      </c>
      <c r="Q21" s="463">
        <f ca="1">SUM(B21:P21)</f>
        <v>18100.675172344389</v>
      </c>
    </row>
    <row r="22" spans="1:17">
      <c r="A22" s="460" t="s">
        <v>156</v>
      </c>
      <c r="B22" s="461">
        <f t="shared" ca="1" si="2"/>
        <v>6903.9016183128897</v>
      </c>
      <c r="C22" s="461">
        <f t="shared" ca="1" si="3"/>
        <v>0</v>
      </c>
      <c r="D22" s="461">
        <f t="shared" ca="1" si="4"/>
        <v>6975.8806985924693</v>
      </c>
      <c r="E22" s="461">
        <f t="shared" si="5"/>
        <v>105.22620238548463</v>
      </c>
      <c r="F22" s="461">
        <f t="shared" ca="1" si="6"/>
        <v>1486.2629204148782</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15471.271439705723</v>
      </c>
    </row>
    <row r="23" spans="1:17">
      <c r="A23" s="460" t="s">
        <v>195</v>
      </c>
      <c r="B23" s="461">
        <f t="shared" ca="1" si="2"/>
        <v>195.68563894572713</v>
      </c>
      <c r="C23" s="461"/>
      <c r="D23" s="461"/>
      <c r="E23" s="461"/>
      <c r="F23" s="461"/>
      <c r="G23" s="461"/>
      <c r="H23" s="461"/>
      <c r="I23" s="461"/>
      <c r="J23" s="461"/>
      <c r="K23" s="461"/>
      <c r="L23" s="461"/>
      <c r="M23" s="461"/>
      <c r="N23" s="461"/>
      <c r="O23" s="461"/>
      <c r="P23" s="462"/>
      <c r="Q23" s="460">
        <f t="shared" ca="1" si="17"/>
        <v>195.68563894572713</v>
      </c>
    </row>
    <row r="24" spans="1:17">
      <c r="A24" s="460" t="s">
        <v>112</v>
      </c>
      <c r="B24" s="461">
        <f t="shared" ca="1" si="2"/>
        <v>104.93469970277276</v>
      </c>
      <c r="C24" s="461">
        <f t="shared" ca="1" si="3"/>
        <v>1752.8168067226895</v>
      </c>
      <c r="D24" s="461">
        <f t="shared" si="4"/>
        <v>0</v>
      </c>
      <c r="E24" s="461">
        <f t="shared" si="5"/>
        <v>1.1343875536170265</v>
      </c>
      <c r="F24" s="461">
        <f t="shared" si="6"/>
        <v>654.40517328734882</v>
      </c>
      <c r="G24" s="461">
        <f t="shared" si="7"/>
        <v>0</v>
      </c>
      <c r="H24" s="461">
        <f t="shared" si="8"/>
        <v>0</v>
      </c>
      <c r="I24" s="461">
        <f t="shared" si="9"/>
        <v>0</v>
      </c>
      <c r="J24" s="461">
        <f t="shared" si="10"/>
        <v>15.086736087271133</v>
      </c>
      <c r="K24" s="461">
        <f t="shared" si="11"/>
        <v>0</v>
      </c>
      <c r="L24" s="461">
        <f t="shared" si="12"/>
        <v>0</v>
      </c>
      <c r="M24" s="461">
        <f t="shared" si="13"/>
        <v>0</v>
      </c>
      <c r="N24" s="461">
        <f t="shared" si="14"/>
        <v>0</v>
      </c>
      <c r="O24" s="461">
        <f t="shared" si="15"/>
        <v>0</v>
      </c>
      <c r="P24" s="462">
        <f t="shared" si="16"/>
        <v>0</v>
      </c>
      <c r="Q24" s="460">
        <f t="shared" ca="1" si="17"/>
        <v>2528.3778033536996</v>
      </c>
    </row>
    <row r="25" spans="1:17">
      <c r="A25" s="460" t="s">
        <v>656</v>
      </c>
      <c r="B25" s="461">
        <f t="shared" ca="1" si="2"/>
        <v>10782.0943836967</v>
      </c>
      <c r="C25" s="461">
        <f t="shared" ca="1" si="3"/>
        <v>6413.4151260504223</v>
      </c>
      <c r="D25" s="461">
        <f t="shared" si="4"/>
        <v>1093.7387894314365</v>
      </c>
      <c r="E25" s="461">
        <f t="shared" si="5"/>
        <v>80.490733807313433</v>
      </c>
      <c r="F25" s="461">
        <f t="shared" si="6"/>
        <v>1590.9395662664976</v>
      </c>
      <c r="G25" s="461">
        <f t="shared" si="7"/>
        <v>0</v>
      </c>
      <c r="H25" s="461">
        <f t="shared" si="8"/>
        <v>0</v>
      </c>
      <c r="I25" s="461">
        <f t="shared" si="9"/>
        <v>0</v>
      </c>
      <c r="J25" s="461">
        <f t="shared" si="10"/>
        <v>47.98681403070637</v>
      </c>
      <c r="K25" s="461">
        <f t="shared" si="11"/>
        <v>0</v>
      </c>
      <c r="L25" s="461">
        <f t="shared" si="12"/>
        <v>0</v>
      </c>
      <c r="M25" s="461">
        <f t="shared" si="13"/>
        <v>0</v>
      </c>
      <c r="N25" s="461">
        <f t="shared" si="14"/>
        <v>0</v>
      </c>
      <c r="O25" s="461">
        <f t="shared" si="15"/>
        <v>0</v>
      </c>
      <c r="P25" s="462">
        <f t="shared" si="16"/>
        <v>0</v>
      </c>
      <c r="Q25" s="460">
        <f t="shared" ca="1" si="17"/>
        <v>20008.665413283077</v>
      </c>
    </row>
    <row r="26" spans="1:17" s="466" customFormat="1">
      <c r="A26" s="464" t="s">
        <v>574</v>
      </c>
      <c r="B26" s="822">
        <f t="shared" ca="1" si="2"/>
        <v>0.38008650690112611</v>
      </c>
      <c r="C26" s="465"/>
      <c r="D26" s="465">
        <f t="shared" si="4"/>
        <v>1.6162097298281157</v>
      </c>
      <c r="E26" s="465">
        <f t="shared" si="5"/>
        <v>222.51643604708181</v>
      </c>
      <c r="F26" s="465"/>
      <c r="G26" s="465">
        <f t="shared" si="7"/>
        <v>57588.255337340925</v>
      </c>
      <c r="H26" s="465">
        <f t="shared" si="8"/>
        <v>6965.6808943055385</v>
      </c>
      <c r="I26" s="465"/>
      <c r="J26" s="465"/>
      <c r="K26" s="465"/>
      <c r="L26" s="465"/>
      <c r="M26" s="465">
        <f t="shared" si="13"/>
        <v>0</v>
      </c>
      <c r="N26" s="465"/>
      <c r="O26" s="465"/>
      <c r="P26" s="476"/>
      <c r="Q26" s="464">
        <f t="shared" ca="1" si="17"/>
        <v>64778.44896393027</v>
      </c>
    </row>
    <row r="27" spans="1:17">
      <c r="A27" s="460" t="s">
        <v>564</v>
      </c>
      <c r="B27" s="461">
        <f t="shared" ca="1" si="2"/>
        <v>0</v>
      </c>
      <c r="C27" s="461"/>
      <c r="D27" s="465">
        <f>D10*$D$16</f>
        <v>0</v>
      </c>
      <c r="E27" s="461"/>
      <c r="F27" s="461"/>
      <c r="G27" s="461">
        <f t="shared" si="7"/>
        <v>676.95972436284501</v>
      </c>
      <c r="H27" s="461"/>
      <c r="I27" s="461"/>
      <c r="J27" s="461"/>
      <c r="K27" s="461"/>
      <c r="L27" s="461"/>
      <c r="M27" s="461">
        <f t="shared" si="13"/>
        <v>0</v>
      </c>
      <c r="N27" s="461"/>
      <c r="O27" s="461"/>
      <c r="P27" s="462"/>
      <c r="Q27" s="460">
        <f t="shared" ca="1" si="17"/>
        <v>676.95972436284501</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c r="D29" s="461"/>
      <c r="E29" s="461"/>
      <c r="F29" s="461"/>
      <c r="G29" s="461"/>
      <c r="H29" s="461"/>
      <c r="I29" s="461"/>
      <c r="J29" s="461"/>
      <c r="K29" s="461"/>
      <c r="L29" s="461"/>
      <c r="M29" s="461"/>
      <c r="N29" s="461"/>
      <c r="O29" s="461"/>
      <c r="P29" s="462"/>
      <c r="Q29" s="460">
        <f t="shared" ca="1" si="17"/>
        <v>0</v>
      </c>
    </row>
    <row r="30" spans="1:17">
      <c r="A30" s="467" t="s">
        <v>567</v>
      </c>
      <c r="B30" s="461">
        <f t="shared" ca="1" si="2"/>
        <v>0</v>
      </c>
      <c r="C30" s="461"/>
      <c r="D30" s="461">
        <f t="shared" si="4"/>
        <v>0</v>
      </c>
      <c r="E30" s="461">
        <f t="shared" si="5"/>
        <v>0</v>
      </c>
      <c r="F30" s="461"/>
      <c r="G30" s="461">
        <f t="shared" si="7"/>
        <v>0</v>
      </c>
      <c r="H30" s="461">
        <f t="shared" si="8"/>
        <v>0</v>
      </c>
      <c r="I30" s="461"/>
      <c r="J30" s="461"/>
      <c r="K30" s="461"/>
      <c r="L30" s="461"/>
      <c r="M30" s="461">
        <f t="shared" si="13"/>
        <v>0</v>
      </c>
      <c r="N30" s="461"/>
      <c r="O30" s="461"/>
      <c r="P30" s="462"/>
      <c r="Q30" s="460">
        <f t="shared" ca="1" si="17"/>
        <v>0</v>
      </c>
    </row>
    <row r="31" spans="1:17" s="473" customFormat="1">
      <c r="A31" s="470" t="s">
        <v>568</v>
      </c>
      <c r="B31" s="471">
        <f t="shared" ref="B31:Q31" ca="1" si="18">SUM(B21:B30)</f>
        <v>23100.833886834411</v>
      </c>
      <c r="C31" s="471">
        <f t="shared" ca="1" si="18"/>
        <v>8166.231932773112</v>
      </c>
      <c r="D31" s="471">
        <f t="shared" ca="1" si="18"/>
        <v>20727.971161867168</v>
      </c>
      <c r="E31" s="471">
        <f t="shared" si="18"/>
        <v>739.47000835503502</v>
      </c>
      <c r="F31" s="471">
        <f t="shared" ca="1" si="18"/>
        <v>3731.6076599687249</v>
      </c>
      <c r="G31" s="471">
        <f t="shared" si="18"/>
        <v>58265.21506170377</v>
      </c>
      <c r="H31" s="471">
        <f t="shared" si="18"/>
        <v>6965.6808943055385</v>
      </c>
      <c r="I31" s="471">
        <f t="shared" si="18"/>
        <v>0</v>
      </c>
      <c r="J31" s="471">
        <f t="shared" si="18"/>
        <v>63.073550117977504</v>
      </c>
      <c r="K31" s="471">
        <f t="shared" si="18"/>
        <v>0</v>
      </c>
      <c r="L31" s="471">
        <f t="shared" ca="1" si="18"/>
        <v>0</v>
      </c>
      <c r="M31" s="471">
        <f t="shared" si="18"/>
        <v>0</v>
      </c>
      <c r="N31" s="471">
        <f t="shared" ca="1" si="18"/>
        <v>0</v>
      </c>
      <c r="O31" s="471">
        <f t="shared" si="18"/>
        <v>0</v>
      </c>
      <c r="P31" s="472">
        <f t="shared" si="18"/>
        <v>0</v>
      </c>
      <c r="Q31" s="472">
        <f t="shared" ca="1" si="18"/>
        <v>121760.08415592572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topLeftCell="A4" zoomScale="55" zoomScaleNormal="55" workbookViewId="0">
      <selection activeCell="M10" sqref="M10"/>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87" customFormat="1" ht="21">
      <c r="A1" s="1128" t="s">
        <v>563</v>
      </c>
      <c r="B1" s="1129" t="s">
        <v>884</v>
      </c>
      <c r="C1" s="1129"/>
      <c r="D1" s="1129"/>
      <c r="E1" s="1129"/>
      <c r="F1" s="1129"/>
      <c r="G1" s="1129"/>
      <c r="H1" s="1129"/>
      <c r="I1" s="1129"/>
      <c r="J1" s="1129"/>
      <c r="K1" s="1129"/>
      <c r="L1" s="1129"/>
      <c r="M1" s="1129"/>
      <c r="N1" s="1129"/>
      <c r="O1" s="1129"/>
      <c r="P1" s="1130"/>
      <c r="Q1" s="1019"/>
    </row>
    <row r="2" spans="1:17" s="987" customFormat="1" ht="21">
      <c r="A2" s="1128"/>
      <c r="B2" s="1131" t="s">
        <v>21</v>
      </c>
      <c r="C2" s="1133" t="s">
        <v>197</v>
      </c>
      <c r="D2" s="1135" t="s">
        <v>198</v>
      </c>
      <c r="E2" s="1136"/>
      <c r="F2" s="1136"/>
      <c r="G2" s="1136"/>
      <c r="H2" s="1136"/>
      <c r="I2" s="1136"/>
      <c r="J2" s="1136"/>
      <c r="K2" s="1132"/>
      <c r="L2" s="1135" t="s">
        <v>199</v>
      </c>
      <c r="M2" s="1136"/>
      <c r="N2" s="1136"/>
      <c r="O2" s="1136"/>
      <c r="P2" s="1132"/>
      <c r="Q2" s="1019"/>
    </row>
    <row r="3" spans="1:17" s="987" customFormat="1" ht="42">
      <c r="A3" s="1128"/>
      <c r="B3" s="1132"/>
      <c r="C3" s="1134"/>
      <c r="D3" s="1001" t="s">
        <v>200</v>
      </c>
      <c r="E3" s="1001" t="s">
        <v>201</v>
      </c>
      <c r="F3" s="1001" t="s">
        <v>202</v>
      </c>
      <c r="G3" s="1001" t="s">
        <v>203</v>
      </c>
      <c r="H3" s="1001" t="s">
        <v>120</v>
      </c>
      <c r="I3" s="1001" t="s">
        <v>204</v>
      </c>
      <c r="J3" s="1001" t="s">
        <v>205</v>
      </c>
      <c r="K3" s="1001" t="s">
        <v>206</v>
      </c>
      <c r="L3" s="1001" t="s">
        <v>207</v>
      </c>
      <c r="M3" s="1001" t="s">
        <v>208</v>
      </c>
      <c r="N3" s="1001" t="s">
        <v>209</v>
      </c>
      <c r="O3" s="1001" t="s">
        <v>210</v>
      </c>
      <c r="P3" s="1001" t="s">
        <v>211</v>
      </c>
      <c r="Q3" s="1019" t="s">
        <v>116</v>
      </c>
    </row>
    <row r="4" spans="1:17" ht="124.35" customHeight="1">
      <c r="A4" s="1005" t="s">
        <v>155</v>
      </c>
      <c r="B4" s="1025" t="s">
        <v>885</v>
      </c>
      <c r="C4" s="1026" t="s">
        <v>886</v>
      </c>
      <c r="D4" s="1027" t="s">
        <v>887</v>
      </c>
      <c r="E4" s="1028" t="s">
        <v>888</v>
      </c>
      <c r="F4" s="1028" t="s">
        <v>889</v>
      </c>
      <c r="G4" s="1029" t="s">
        <v>892</v>
      </c>
      <c r="H4" s="1029" t="s">
        <v>892</v>
      </c>
      <c r="I4" s="1029" t="s">
        <v>892</v>
      </c>
      <c r="J4" s="1028" t="s">
        <v>891</v>
      </c>
      <c r="K4" s="1029" t="s">
        <v>892</v>
      </c>
      <c r="L4" s="1029" t="s">
        <v>892</v>
      </c>
      <c r="M4" s="1029" t="s">
        <v>892</v>
      </c>
      <c r="N4" s="1028" t="s">
        <v>893</v>
      </c>
      <c r="O4" s="1030" t="s">
        <v>894</v>
      </c>
      <c r="P4" s="1031" t="s">
        <v>895</v>
      </c>
      <c r="Q4" s="1032"/>
    </row>
    <row r="5" spans="1:17" ht="124.35" customHeight="1">
      <c r="A5" s="1006" t="s">
        <v>156</v>
      </c>
      <c r="B5" s="1007" t="s">
        <v>896</v>
      </c>
      <c r="C5" s="1008" t="s">
        <v>897</v>
      </c>
      <c r="D5" s="1008" t="s">
        <v>898</v>
      </c>
      <c r="E5" s="1009" t="s">
        <v>899</v>
      </c>
      <c r="F5" s="1009" t="s">
        <v>900</v>
      </c>
      <c r="G5" s="1010" t="s">
        <v>892</v>
      </c>
      <c r="H5" s="1010" t="s">
        <v>892</v>
      </c>
      <c r="I5" s="1010" t="s">
        <v>892</v>
      </c>
      <c r="J5" s="1009" t="s">
        <v>901</v>
      </c>
      <c r="K5" s="1007" t="s">
        <v>902</v>
      </c>
      <c r="L5" s="1010" t="s">
        <v>892</v>
      </c>
      <c r="M5" s="1010" t="s">
        <v>892</v>
      </c>
      <c r="N5" s="1009" t="s">
        <v>903</v>
      </c>
      <c r="O5" s="1011" t="s">
        <v>894</v>
      </c>
      <c r="P5" s="1020" t="s">
        <v>895</v>
      </c>
      <c r="Q5" s="1002"/>
    </row>
    <row r="6" spans="1:17" ht="124.35" customHeight="1">
      <c r="A6" s="1006" t="s">
        <v>195</v>
      </c>
      <c r="B6" s="1012" t="s">
        <v>904</v>
      </c>
      <c r="C6" s="1013" t="s">
        <v>890</v>
      </c>
      <c r="D6" s="1010" t="s">
        <v>890</v>
      </c>
      <c r="E6" s="1010" t="s">
        <v>890</v>
      </c>
      <c r="F6" s="1010" t="s">
        <v>890</v>
      </c>
      <c r="G6" s="1010" t="s">
        <v>890</v>
      </c>
      <c r="H6" s="1010" t="s">
        <v>890</v>
      </c>
      <c r="I6" s="1010" t="s">
        <v>890</v>
      </c>
      <c r="J6" s="1010" t="s">
        <v>890</v>
      </c>
      <c r="K6" s="1010" t="s">
        <v>890</v>
      </c>
      <c r="L6" s="1010" t="s">
        <v>890</v>
      </c>
      <c r="M6" s="1010" t="s">
        <v>890</v>
      </c>
      <c r="N6" s="1010" t="s">
        <v>890</v>
      </c>
      <c r="O6" s="1014" t="s">
        <v>890</v>
      </c>
      <c r="P6" s="1021" t="s">
        <v>890</v>
      </c>
      <c r="Q6" s="1003"/>
    </row>
    <row r="7" spans="1:17" ht="124.35" customHeight="1">
      <c r="A7" s="1006" t="s">
        <v>112</v>
      </c>
      <c r="B7" s="1012" t="s">
        <v>904</v>
      </c>
      <c r="C7" s="1008" t="s">
        <v>897</v>
      </c>
      <c r="D7" s="1008" t="s">
        <v>898</v>
      </c>
      <c r="E7" s="1009" t="s">
        <v>899</v>
      </c>
      <c r="F7" s="1009" t="s">
        <v>900</v>
      </c>
      <c r="G7" s="1010" t="s">
        <v>892</v>
      </c>
      <c r="H7" s="1010" t="s">
        <v>892</v>
      </c>
      <c r="I7" s="1010" t="s">
        <v>892</v>
      </c>
      <c r="J7" s="1009" t="s">
        <v>901</v>
      </c>
      <c r="K7" s="1010" t="s">
        <v>892</v>
      </c>
      <c r="L7" s="1010" t="s">
        <v>892</v>
      </c>
      <c r="M7" s="1010" t="s">
        <v>892</v>
      </c>
      <c r="N7" s="1015" t="s">
        <v>892</v>
      </c>
      <c r="O7" s="1013" t="s">
        <v>892</v>
      </c>
      <c r="P7" s="1022" t="s">
        <v>892</v>
      </c>
      <c r="Q7" s="1002"/>
    </row>
    <row r="8" spans="1:17" ht="124.35" customHeight="1">
      <c r="A8" s="1006" t="s">
        <v>656</v>
      </c>
      <c r="B8" s="1007" t="s">
        <v>905</v>
      </c>
      <c r="C8" s="1008" t="s">
        <v>897</v>
      </c>
      <c r="D8" s="1008" t="s">
        <v>898</v>
      </c>
      <c r="E8" s="1009" t="s">
        <v>899</v>
      </c>
      <c r="F8" s="1009" t="s">
        <v>900</v>
      </c>
      <c r="G8" s="1010" t="s">
        <v>892</v>
      </c>
      <c r="H8" s="1010" t="s">
        <v>892</v>
      </c>
      <c r="I8" s="1010" t="s">
        <v>892</v>
      </c>
      <c r="J8" s="1009" t="s">
        <v>901</v>
      </c>
      <c r="K8" s="1007" t="s">
        <v>902</v>
      </c>
      <c r="L8" s="1010" t="s">
        <v>892</v>
      </c>
      <c r="M8" s="1010" t="s">
        <v>892</v>
      </c>
      <c r="N8" s="1009" t="s">
        <v>903</v>
      </c>
      <c r="O8" s="1011" t="s">
        <v>894</v>
      </c>
      <c r="P8" s="1020" t="s">
        <v>895</v>
      </c>
      <c r="Q8" s="1002"/>
    </row>
    <row r="9" spans="1:17" s="466" customFormat="1" ht="124.35" customHeight="1">
      <c r="A9" s="1016" t="s">
        <v>574</v>
      </c>
      <c r="B9" s="1009" t="s">
        <v>906</v>
      </c>
      <c r="C9" s="1014" t="s">
        <v>890</v>
      </c>
      <c r="D9" s="1009" t="s">
        <v>907</v>
      </c>
      <c r="E9" s="1009" t="s">
        <v>908</v>
      </c>
      <c r="F9" s="1010" t="s">
        <v>890</v>
      </c>
      <c r="G9" s="1009" t="s">
        <v>909</v>
      </c>
      <c r="H9" s="1009" t="s">
        <v>910</v>
      </c>
      <c r="I9" s="1010" t="s">
        <v>890</v>
      </c>
      <c r="J9" s="1010" t="s">
        <v>890</v>
      </c>
      <c r="K9" s="1010" t="s">
        <v>890</v>
      </c>
      <c r="L9" s="1010" t="s">
        <v>890</v>
      </c>
      <c r="M9" s="1009" t="s">
        <v>906</v>
      </c>
      <c r="N9" s="1010" t="s">
        <v>890</v>
      </c>
      <c r="O9" s="1010" t="s">
        <v>890</v>
      </c>
      <c r="P9" s="1023" t="s">
        <v>890</v>
      </c>
      <c r="Q9" s="1004"/>
    </row>
    <row r="10" spans="1:17" ht="124.35" customHeight="1">
      <c r="A10" s="1006" t="s">
        <v>564</v>
      </c>
      <c r="B10" s="1007" t="s">
        <v>921</v>
      </c>
      <c r="C10" s="1014" t="s">
        <v>890</v>
      </c>
      <c r="D10" s="1014" t="s">
        <v>890</v>
      </c>
      <c r="E10" s="1014" t="s">
        <v>890</v>
      </c>
      <c r="F10" s="1010" t="s">
        <v>890</v>
      </c>
      <c r="G10" s="1007" t="s">
        <v>911</v>
      </c>
      <c r="H10" s="1010" t="s">
        <v>890</v>
      </c>
      <c r="I10" s="1010" t="s">
        <v>890</v>
      </c>
      <c r="J10" s="1010" t="s">
        <v>890</v>
      </c>
      <c r="K10" s="1010" t="s">
        <v>890</v>
      </c>
      <c r="L10" s="1010" t="s">
        <v>890</v>
      </c>
      <c r="M10" s="1007" t="s">
        <v>912</v>
      </c>
      <c r="N10" s="1010" t="s">
        <v>890</v>
      </c>
      <c r="O10" s="1010" t="s">
        <v>890</v>
      </c>
      <c r="P10" s="1023" t="s">
        <v>890</v>
      </c>
      <c r="Q10" s="1002"/>
    </row>
    <row r="11" spans="1:17" ht="21">
      <c r="A11" s="1006" t="s">
        <v>565</v>
      </c>
      <c r="B11" s="1017" t="s">
        <v>913</v>
      </c>
      <c r="C11" s="1017" t="s">
        <v>913</v>
      </c>
      <c r="D11" s="1017" t="s">
        <v>913</v>
      </c>
      <c r="E11" s="1017" t="s">
        <v>913</v>
      </c>
      <c r="F11" s="1017" t="s">
        <v>913</v>
      </c>
      <c r="G11" s="1017" t="s">
        <v>913</v>
      </c>
      <c r="H11" s="1017" t="s">
        <v>913</v>
      </c>
      <c r="I11" s="1017" t="s">
        <v>913</v>
      </c>
      <c r="J11" s="1017" t="s">
        <v>913</v>
      </c>
      <c r="K11" s="1017" t="s">
        <v>913</v>
      </c>
      <c r="L11" s="1017" t="s">
        <v>913</v>
      </c>
      <c r="M11" s="1017" t="s">
        <v>913</v>
      </c>
      <c r="N11" s="1017" t="s">
        <v>913</v>
      </c>
      <c r="O11" s="1017" t="s">
        <v>913</v>
      </c>
      <c r="P11" s="1033" t="s">
        <v>913</v>
      </c>
      <c r="Q11" s="1034"/>
    </row>
    <row r="12" spans="1:17" ht="21">
      <c r="A12" s="1006" t="s">
        <v>566</v>
      </c>
      <c r="B12" s="1017" t="s">
        <v>913</v>
      </c>
      <c r="C12" s="1017" t="s">
        <v>890</v>
      </c>
      <c r="D12" s="1017" t="s">
        <v>890</v>
      </c>
      <c r="E12" s="1017" t="s">
        <v>890</v>
      </c>
      <c r="F12" s="1017" t="s">
        <v>890</v>
      </c>
      <c r="G12" s="1017" t="s">
        <v>890</v>
      </c>
      <c r="H12" s="1017" t="s">
        <v>890</v>
      </c>
      <c r="I12" s="1017" t="s">
        <v>890</v>
      </c>
      <c r="J12" s="1017" t="s">
        <v>890</v>
      </c>
      <c r="K12" s="1017" t="s">
        <v>890</v>
      </c>
      <c r="L12" s="1017" t="s">
        <v>890</v>
      </c>
      <c r="M12" s="1017" t="s">
        <v>890</v>
      </c>
      <c r="N12" s="1017" t="s">
        <v>890</v>
      </c>
      <c r="O12" s="1017" t="s">
        <v>890</v>
      </c>
      <c r="P12" s="1024" t="s">
        <v>890</v>
      </c>
      <c r="Q12" s="462"/>
    </row>
    <row r="13" spans="1:17" ht="21">
      <c r="A13" s="988" t="s">
        <v>567</v>
      </c>
      <c r="B13" s="1018" t="s">
        <v>913</v>
      </c>
      <c r="C13" s="461" t="s">
        <v>890</v>
      </c>
      <c r="D13" s="468" t="s">
        <v>913</v>
      </c>
      <c r="E13" s="468" t="s">
        <v>913</v>
      </c>
      <c r="F13" s="468" t="s">
        <v>890</v>
      </c>
      <c r="G13" s="468" t="s">
        <v>913</v>
      </c>
      <c r="H13" s="468" t="s">
        <v>913</v>
      </c>
      <c r="I13" s="468" t="s">
        <v>890</v>
      </c>
      <c r="J13" s="468" t="s">
        <v>890</v>
      </c>
      <c r="K13" s="468" t="s">
        <v>890</v>
      </c>
      <c r="L13" s="468" t="s">
        <v>890</v>
      </c>
      <c r="M13" s="989" t="s">
        <v>913</v>
      </c>
      <c r="N13" s="468" t="s">
        <v>890</v>
      </c>
      <c r="O13" s="468" t="s">
        <v>890</v>
      </c>
      <c r="P13" s="468" t="s">
        <v>890</v>
      </c>
      <c r="Q13" s="467"/>
    </row>
    <row r="14" spans="1:17" s="473" customFormat="1" ht="21">
      <c r="A14" s="990" t="s">
        <v>568</v>
      </c>
      <c r="B14" s="471"/>
      <c r="C14" s="471"/>
      <c r="D14" s="471"/>
      <c r="E14" s="471"/>
      <c r="F14" s="471"/>
      <c r="G14" s="471"/>
      <c r="H14" s="471"/>
      <c r="I14" s="471"/>
      <c r="J14" s="471"/>
      <c r="K14" s="471"/>
      <c r="L14" s="471"/>
      <c r="M14" s="991"/>
      <c r="N14" s="471"/>
      <c r="O14" s="471"/>
      <c r="P14" s="472"/>
      <c r="Q14" s="992"/>
    </row>
    <row r="15" spans="1:17">
      <c r="M15" s="993"/>
    </row>
    <row r="16" spans="1:17">
      <c r="B16" s="994">
        <v>1</v>
      </c>
      <c r="C16" s="995">
        <v>2</v>
      </c>
      <c r="D16" s="996">
        <v>3</v>
      </c>
    </row>
    <row r="17" spans="1:4" ht="252">
      <c r="A17" s="997" t="s">
        <v>914</v>
      </c>
      <c r="B17" s="998" t="s">
        <v>915</v>
      </c>
      <c r="C17" s="999" t="s">
        <v>916</v>
      </c>
      <c r="D17" s="1000" t="s">
        <v>917</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0.21989843581486626</v>
      </c>
      <c r="C17" s="511">
        <f ca="1">'EF ele_warmte'!B22</f>
        <v>0.23764705882352946</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143"/>
      <c r="P13" s="1143"/>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0.21989843581486626</v>
      </c>
      <c r="C17" s="511">
        <f ca="1">'EF ele_warmte'!B22</f>
        <v>0.23764705882352946</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19" t="s">
        <v>329</v>
      </c>
      <c r="B1" s="1137" t="s">
        <v>196</v>
      </c>
      <c r="C1" s="1138"/>
      <c r="D1" s="1138"/>
      <c r="E1" s="1138"/>
      <c r="F1" s="1138"/>
      <c r="G1" s="1138"/>
      <c r="H1" s="1138"/>
      <c r="I1" s="1138"/>
      <c r="J1" s="1138"/>
      <c r="K1" s="1138"/>
      <c r="L1" s="1138"/>
      <c r="M1" s="1138"/>
      <c r="N1" s="1138"/>
      <c r="O1" s="1138"/>
      <c r="P1" s="1138"/>
    </row>
    <row r="2" spans="1:16" ht="15" customHeight="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0.21989843581486626</v>
      </c>
      <c r="C29" s="512">
        <f ca="1">'EF ele_warmte'!B22</f>
        <v>0.23764705882352946</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224</vt:i4>
      </vt:variant>
    </vt:vector>
  </HeadingPairs>
  <TitlesOfParts>
    <vt:vector size="254" baseType="lpstr">
      <vt:lpstr>LEGENDE</vt:lpstr>
      <vt:lpstr>OUTPUT--&gt;</vt:lpstr>
      <vt:lpstr>SEAP template</vt:lpstr>
      <vt:lpstr>Nulmeting 2011</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2018-12-05T15:54:44Z</dcterms:modified>
</cp:coreProperties>
</file>