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H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M16" s="1"/>
  <c r="M19" s="1"/>
  <c r="E22" i="14"/>
  <c r="G31" i="20"/>
  <c r="H43" i="14" s="1"/>
  <c r="E101" i="18"/>
  <c r="E16" s="1"/>
  <c r="F78" i="14" s="1"/>
  <c r="F81" s="1"/>
  <c r="P8" i="48"/>
  <c r="P25" s="1"/>
  <c r="F101" i="18"/>
  <c r="O78" i="14"/>
  <c r="K14" i="48"/>
  <c r="J12" i="17"/>
  <c r="K48" i="14" s="1"/>
  <c r="H101" i="18"/>
  <c r="J16" s="1"/>
  <c r="K78" i="14" s="1"/>
  <c r="K81" s="1"/>
  <c r="H19" i="18"/>
  <c r="G13" i="48"/>
  <c r="G30" s="1"/>
  <c r="D101" i="18"/>
  <c r="H17" i="14"/>
  <c r="B100" i="18"/>
  <c r="C7" s="1"/>
  <c r="G100"/>
  <c r="E9"/>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81" i="14" l="1"/>
  <c r="B17" i="6" s="1"/>
  <c r="E13" i="14"/>
  <c r="E15" s="1"/>
  <c r="E23" s="1"/>
  <c r="D67"/>
  <c r="C9" i="18"/>
  <c r="J78" i="14"/>
  <c r="I19" i="18"/>
  <c r="J19"/>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D69" i="14" l="1"/>
  <c r="O67"/>
  <c r="D14" i="48"/>
  <c r="C78" i="14"/>
  <c r="C81" s="1"/>
  <c r="J81"/>
  <c r="B22" i="6"/>
  <c r="C10" i="17" s="1"/>
  <c r="C12" s="1"/>
  <c r="D48" i="14" s="1"/>
  <c r="F10"/>
  <c r="N19"/>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6" i="22"/>
  <c r="C10" i="13"/>
  <c r="C16" i="48" s="1"/>
  <c r="C18" i="15"/>
  <c r="C20" s="1"/>
  <c r="D36" i="14" s="1"/>
  <c r="C20" i="16"/>
  <c r="C22" s="1"/>
  <c r="D39" i="14" s="1"/>
  <c r="C17" i="19"/>
  <c r="C19" s="1"/>
  <c r="D35" i="14" s="1"/>
  <c r="C29" i="20"/>
  <c r="Q5" i="48"/>
  <c r="O13" i="14"/>
  <c r="O15" s="1"/>
  <c r="F22" i="16"/>
  <c r="G39" i="14" s="1"/>
  <c r="G41" s="1"/>
  <c r="N22" i="16"/>
  <c r="O39" i="14" s="1"/>
  <c r="O41" s="1"/>
  <c r="F8" i="48"/>
  <c r="Q4"/>
  <c r="N22"/>
  <c r="R11" i="14"/>
  <c r="J21" i="48"/>
  <c r="R10" i="14"/>
  <c r="Q9" i="48" l="1"/>
  <c r="C17" i="49"/>
  <c r="M26" i="48"/>
  <c r="M31" s="1"/>
  <c r="C56" i="22"/>
  <c r="C58" s="1"/>
  <c r="D44" i="14" s="1"/>
  <c r="D46" s="1"/>
  <c r="N25" i="48"/>
  <c r="N31" s="1"/>
  <c r="N14"/>
  <c r="E8"/>
  <c r="Q8" s="1"/>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<sst xmlns="http://schemas.openxmlformats.org/spreadsheetml/2006/main" count="2252" uniqueCount="947">
  <si>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</si>
  <si>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</si>
  <si>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</si>
  <si>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</si>
  <si>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</si>
  <si>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</si>
  <si>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</si>
  <si>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</si>
  <si>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</si>
  <si>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</si>
  <si>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</si>
  <si>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</si>
  <si>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</si>
  <si>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</si>
  <si>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</si>
  <si>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</si>
  <si>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</si>
  <si>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</si>
  <si>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</si>
  <si>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</si>
  <si>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</si>
  <si>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</si>
  <si>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</si>
  <si>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</si>
  <si>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</si>
  <si>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</si>
  <si>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</si>
  <si>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</si>
  <si>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</si>
  <si>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</si>
  <si>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</si>
  <si>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</si>
  <si>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</si>
  <si>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</si>
  <si>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</si>
  <si>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</si>
  <si>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</si>
  <si>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</si>
  <si>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</si>
  <si>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</si>
  <si>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</si>
  <si>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</si>
  <si>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</si>
  <si>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</si>
  <si>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</si>
  <si>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</si>
  <si>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</si>
  <si>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</si>
  <si>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</si>
  <si>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</si>
  <si>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</si>
  <si>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</si>
  <si>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</si>
  <si>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</si>
  <si>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</si>
  <si>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</si>
  <si>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</si>
  <si>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</si>
  <si>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</si>
  <si>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</si>
  <si>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</si>
  <si>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</si>
  <si>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</si>
  <si>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</si>
  <si>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</si>
  <si>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</si>
  <si>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</si>
  <si>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</si>
  <si>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</si>
  <si>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</si>
  <si>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</si>
  <si>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</si>
  <si>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</si>
  <si>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</si>
  <si>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</si>
  <si>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</si>
  <si>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</si>
  <si>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</si>
  <si>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</si>
  <si>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</si>
  <si>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</si>
  <si>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</si>
  <si>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</si>
  <si>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</si>
  <si>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</si>
  <si>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</si>
  <si>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</si>
  <si>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</si>
  <si>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</si>
  <si>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</si>
  <si>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</si>
  <si>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</si>
  <si>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</si>
  <si>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</si>
  <si>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</si>
  <si>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</si>
  <si>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</si>
  <si>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</si>
  <si>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</si>
  <si>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</si>
  <si>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</si>
  <si>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</si>
  <si>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</si>
  <si>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</si>
  <si>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</si>
  <si>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</si>
  <si>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</si>
  <si>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</si>
  <si>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</si>
  <si>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</si>
  <si>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</si>
  <si>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</si>
  <si>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</si>
  <si>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</si>
  <si>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</si>
  <si>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</si>
  <si>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</si>
  <si>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</si>
  <si>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</si>
  <si>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</si>
  <si>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</si>
  <si>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</si>
  <si>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</si>
  <si>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</si>
  <si>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</si>
  <si>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</si>
  <si>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</si>
  <si>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</si>
  <si>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</si>
  <si>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</si>
  <si>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</si>
  <si>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</si>
  <si>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</si>
  <si>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</si>
  <si>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</si>
  <si>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</si>
  <si>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</si>
  <si>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</si>
  <si>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</si>
  <si>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</si>
  <si>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</si>
  <si>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</si>
  <si>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</si>
  <si>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</si>
  <si>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</si>
  <si>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</si>
  <si>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</si>
  <si>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</si>
  <si>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</si>
  <si>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</si>
  <si>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</si>
  <si>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</si>
  <si>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</si>
  <si>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</si>
  <si>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</si>
  <si>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</si>
  <si>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</si>
  <si>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</si>
  <si>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</si>
  <si>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</si>
  <si>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</si>
  <si>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</si>
  <si>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</si>
  <si>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</si>
  <si>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</si>
  <si>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</si>
  <si>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</si>
  <si>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</si>
  <si>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</si>
  <si>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</si>
  <si>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</si>
  <si>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</si>
  <si>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</si>
  <si>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</si>
  <si>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</si>
  <si>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</si>
  <si>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</si>
  <si>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</si>
  <si>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</si>
  <si>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</si>
  <si>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</si>
  <si>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</si>
  <si>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</si>
  <si>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</si>
  <si>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</si>
  <si>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</si>
  <si>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</si>
  <si>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</si>
  <si>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</si>
  <si>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</si>
  <si>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</si>
  <si>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</si>
  <si>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</si>
  <si>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</si>
  <si>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</si>
  <si>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</si>
  <si>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</si>
  <si>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</si>
  <si>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</si>
  <si>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</si>
  <si>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</si>
  <si>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</si>
  <si>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</si>
  <si>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</si>
  <si>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</si>
  <si>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</si>
  <si>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</si>
  <si>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</si>
  <si>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</si>
  <si>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</si>
  <si>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</si>
  <si>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</si>
  <si>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</si>
  <si>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</si>
  <si>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</si>
  <si>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</si>
  <si>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</si>
  <si>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</si>
  <si>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</si>
  <si>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</si>
  <si>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</si>
  <si>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</si>
  <si>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</si>
  <si>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</si>
  <si>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</si>
  <si>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</si>
  <si>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</si>
  <si>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</si>
  <si>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</si>
  <si>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</si>
  <si>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</si>
  <si>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</si>
  <si>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</si>
  <si>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</si>
  <si>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</si>
  <si>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</si>
  <si>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</si>
  <si>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</si>
  <si>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</si>
  <si>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</si>
  <si>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</si>
  <si>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</si>
  <si>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</si>
  <si>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</si>
  <si>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</si>
  <si>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</si>
  <si>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</si>
  <si>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</si>
  <si>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</si>
  <si>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</si>
  <si>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</si>
  <si>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</si>
  <si>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</si>
  <si>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</si>
  <si>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</si>
  <si>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</si>
  <si>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</si>
  <si>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</si>
  <si>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</si>
  <si>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</si>
  <si>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</si>
  <si>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</si>
  <si>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</si>
  <si>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</si>
  <si>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</si>
  <si>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</si>
  <si>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</si>
  <si>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</si>
  <si>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</si>
  <si>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</si>
  <si>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</si>
  <si>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</si>
  <si>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</si>
  <si>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</si>
  <si>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</si>
  <si>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</si>
  <si>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</si>
  <si>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</si>
  <si>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</si>
  <si>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</si>
  <si>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</si>
  <si>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</si>
  <si>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</si>
  <si>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</si>
  <si>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</si>
  <si>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</si>
  <si>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</si>
  <si>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</si>
  <si>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</si>
  <si>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</si>
  <si>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</si>
  <si>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</si>
  <si>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</si>
  <si>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</si>
  <si>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</si>
  <si>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</si>
  <si>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</si>
  <si>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</si>
  <si>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</si>
  <si>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</si>
  <si>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</si>
  <si>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</si>
  <si>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</si>
  <si>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</si>
  <si>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</si>
  <si>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</si>
  <si>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</si>
  <si>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</si>
  <si>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</si>
  <si>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</si>
  <si>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</si>
  <si>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</si>
  <si>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</si>
  <si>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</si>
  <si>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</si>
  <si>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</si>
  <si>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</si>
  <si>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</si>
  <si>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</si>
  <si>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</si>
  <si>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</si>
  <si>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</si>
  <si>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</si>
  <si>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</si>
  <si>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</si>
  <si>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</si>
  <si>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</si>
  <si>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</si>
  <si>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</si>
  <si>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</si>
  <si>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</si>
  <si>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</si>
  <si>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</si>
  <si>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</si>
  <si>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</si>
  <si>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</si>
  <si>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</si>
  <si>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</si>
  <si>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</si>
  <si>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</si>
  <si>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</si>
  <si>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</si>
  <si>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</si>
  <si>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</si>
  <si>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</si>
  <si>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</si>
  <si>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</si>
  <si>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</si>
  <si>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</si>
  <si>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</si>
  <si>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</si>
  <si>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</si>
  <si>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</si>
  <si>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</si>
  <si>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</si>
  <si>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</si>
  <si>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</si>
  <si>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</si>
  <si>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</si>
  <si>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</si>
  <si>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</si>
  <si>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</si>
  <si>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</si>
  <si>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</si>
  <si>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</si>
  <si>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</si>
  <si>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</si>
  <si>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</si>
  <si>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</si>
  <si>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</si>
  <si>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</si>
  <si>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</si>
  <si>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</si>
  <si>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</si>
  <si>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</si>
  <si>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</si>
  <si>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</si>
  <si>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</si>
  <si>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</si>
  <si>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</si>
  <si>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</si>
  <si>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</si>
  <si>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</si>
  <si>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</si>
  <si>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</si>
  <si>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</si>
  <si>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</si>
  <si>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</si>
  <si>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</si>
  <si>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</si>
  <si>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</si>
  <si>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</si>
  <si>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</si>
  <si>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</si>
  <si>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</si>
  <si>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</si>
  <si>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</si>
  <si>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</si>
  <si>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</si>
  <si>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</si>
  <si>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</si>
  <si>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</si>
  <si>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</si>
  <si>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</si>
  <si>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</si>
  <si>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</si>
  <si>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</si>
  <si>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</si>
  <si>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</si>
  <si>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</si>
  <si>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</si>
  <si>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</si>
  <si>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</si>
  <si>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</si>
  <si>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</si>
  <si>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</si>
  <si>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</si>
  <si>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</si>
  <si>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</si>
  <si>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</si>
  <si>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</si>
  <si>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</si>
  <si>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</si>
  <si>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</si>
  <si>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</si>
  <si>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</si>
  <si>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</si>
  <si>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</si>
  <si>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</si>
  <si>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</si>
  <si>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</si>
  <si>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</si>
  <si>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</si>
  <si>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</si>
  <si>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</si>
  <si>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</si>
  <si>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</si>
  <si>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</si>
  <si>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</si>
  <si>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</si>
  <si>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</si>
  <si>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</si>
  <si>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</si>
  <si>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</si>
  <si>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</si>
  <si>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</si>
  <si>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</si>
  <si>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</si>
  <si>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</si>
  <si>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</si>
  <si>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</si>
  <si>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</si>
  <si>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</si>
  <si>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</si>
  <si>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</si>
  <si>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</si>
  <si>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</si>
  <si>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</si>
  <si>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</si>
  <si>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</si>
  <si>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</si>
  <si>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</si>
  <si>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</si>
  <si>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</si>
  <si>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</si>
  <si>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</si>
  <si>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</si>
  <si>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</si>
  <si>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</si>
  <si>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</si>
  <si>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</si>
  <si>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</si>
  <si>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</si>
  <si>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</si>
  <si>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</si>
  <si>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</si>
  <si>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</si>
  <si>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</si>
  <si>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</si>
  <si>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</si>
  <si>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</si>
  <si>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</si>
  <si>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</si>
  <si>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</si>
  <si>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</si>
  <si>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</si>
  <si>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</si>
  <si>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</si>
  <si>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</si>
  <si>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</si>
  <si>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</si>
  <si>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</si>
  <si>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</si>
  <si>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</si>
  <si>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</si>
  <si>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</si>
  <si>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</si>
  <si>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</si>
  <si>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</si>
  <si>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</si>
  <si>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</si>
  <si>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</si>
  <si>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</si>
  <si>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</si>
  <si>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</si>
  <si>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</si>
  <si>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</si>
  <si>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</si>
  <si>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</si>
  <si>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</si>
  <si>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</si>
  <si>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</si>
  <si>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</si>
  <si>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</si>
  <si>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</si>
  <si>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</si>
  <si>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</si>
  <si>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</si>
  <si>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</si>
  <si>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</si>
  <si>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</si>
  <si>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</si>
  <si>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</si>
  <si>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</si>
  <si>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</si>
  <si>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</si>
  <si>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</si>
  <si>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</si>
  <si>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</si>
  <si>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</si>
  <si>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</si>
  <si>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</si>
  <si>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</si>
  <si>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</si>
  <si>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</si>
  <si>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</si>
  <si>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</si>
  <si>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</si>
  <si>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</si>
  <si>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</si>
  <si>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</si>
  <si>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</si>
  <si>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</si>
  <si>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</si>
  <si>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</si>
  <si>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</si>
  <si>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</si>
  <si>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</si>
  <si>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</si>
  <si>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</si>
  <si>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</si>
  <si>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</si>
  <si>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</si>
  <si>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</si>
  <si>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</si>
  <si>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</si>
  <si>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</si>
  <si>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</si>
  <si>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</si>
  <si>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</si>
  <si>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</si>
  <si>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</si>
  <si>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</si>
  <si>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</si>
  <si>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</si>
  <si>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</si>
  <si>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</si>
  <si>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</si>
  <si>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</si>
  <si>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</si>
  <si>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</si>
  <si>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</si>
  <si>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</si>
  <si>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</si>
  <si>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</si>
  <si>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</si>
  <si>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</si>
  <si>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</si>
  <si>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</si>
  <si>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</si>
  <si>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</si>
  <si>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</si>
  <si>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</si>
  <si>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</si>
  <si>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</si>
  <si>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</si>
  <si>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</si>
  <si>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</si>
  <si>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</si>
  <si>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</si>
  <si>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</si>
  <si>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</si>
  <si>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</si>
  <si>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</si>
  <si>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</si>
  <si>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</si>
  <si>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</si>
  <si>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</si>
  <si>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</si>
  <si>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</si>
  <si>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</si>
  <si>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</si>
  <si>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</si>
  <si>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</si>
  <si>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</si>
  <si>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</si>
  <si>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</si>
  <si>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</si>
  <si>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</si>
  <si>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</si>
  <si>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</si>
  <si>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</si>
  <si>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</si>
  <si>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</si>
  <si>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</si>
  <si>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</si>
  <si>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</si>
  <si>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</si>
  <si>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</si>
  <si>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</si>
  <si>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</si>
  <si>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</si>
  <si>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</si>
  <si>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</si>
  <si>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</si>
  <si>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</si>
  <si>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</si>
  <si>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</si>
  <si>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</si>
  <si>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</si>
  <si>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</si>
  <si>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</si>
  <si>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</si>
  <si>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</si>
  <si>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</si>
  <si>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</si>
  <si>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</si>
  <si>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</si>
  <si>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</si>
  <si>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</si>
  <si>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</si>
  <si>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</si>
  <si>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</si>
  <si>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</si>
  <si>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</si>
  <si>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</si>
  <si>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</si>
  <si>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</si>
  <si>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</si>
  <si>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</si>
  <si>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</si>
  <si>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</si>
  <si>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</si>
  <si>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</si>
  <si>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</si>
  <si>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</si>
  <si>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</si>
  <si>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</si>
  <si>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</si>
  <si>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</si>
  <si>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</si>
  <si>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</si>
  <si>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</si>
  <si>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</si>
  <si>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</si>
  <si>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</si>
  <si>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</si>
  <si>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</si>
  <si>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</si>
  <si>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</si>
  <si>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</si>
  <si>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</si>
  <si>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</si>
  <si>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</si>
  <si>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</si>
  <si>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</si>
  <si>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</si>
  <si>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</si>
  <si>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</si>
  <si>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</si>
  <si>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</si>
  <si>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</si>
  <si>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</si>
  <si>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</si>
  <si>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</si>
  <si>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</si>
  <si>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</si>
  <si>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</si>
  <si>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</si>
  <si>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</si>
  <si>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</si>
  <si>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</si>
  <si>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</si>
  <si>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</si>
  <si>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</si>
  <si>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</si>
  <si>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</si>
  <si>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</si>
  <si>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</si>
  <si>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</si>
  <si>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</si>
  <si>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</si>
  <si>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</si>
  <si>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</si>
  <si>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</si>
  <si>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</si>
  <si>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</si>
  <si>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</si>
  <si>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</si>
  <si>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</si>
  <si>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</si>
  <si>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</si>
  <si>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</si>
  <si>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</si>
  <si>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</si>
  <si>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</si>
  <si>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</si>
  <si>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</si>
  <si>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</si>
  <si>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</si>
  <si>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</si>
  <si>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</si>
  <si>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</si>
  <si>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</si>
  <si>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</si>
  <si>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</si>
  <si>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</si>
  <si>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</si>
  <si>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</si>
  <si>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</si>
  <si>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</si>
  <si>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</si>
  <si>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</si>
  <si>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</si>
  <si>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</si>
  <si>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</si>
  <si>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</si>
  <si>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</si>
  <si>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</si>
  <si>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</si>
  <si>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</si>
  <si>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</si>
  <si>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</si>
  <si>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</si>
  <si>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</si>
  <si>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</si>
  <si>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</si>
  <si>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</si>
  <si>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</si>
  <si>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</si>
  <si>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</si>
  <si>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</si>
  <si>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</si>
  <si>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</si>
  <si>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</si>
  <si>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</si>
  <si>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</si>
  <si>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</si>
  <si>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</si>
  <si>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</si>
  <si>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</si>
  <si>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</si>
  <si>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</si>
  <si>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</si>
  <si>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</si>
  <si>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</si>
  <si>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</si>
  <si>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</si>
  <si>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</si>
  <si>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</si>
  <si>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</si>
  <si>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</si>
  <si>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</si>
  <si>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</si>
  <si>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</si>
  <si>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</si>
  <si>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</si>
  <si>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</si>
  <si>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</si>
  <si>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</si>
  <si>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</si>
  <si>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</si>
  <si>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</si>
  <si>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</si>
  <si>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</si>
  <si>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</si>
  <si>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</si>
  <si>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</si>
  <si>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</si>
  <si>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</si>
  <si>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</si>
  <si>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</si>
  <si>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</si>
  <si>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</si>
  <si>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</si>
  <si>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</si>
  <si>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</si>
  <si>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</si>
  <si>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</si>
  <si>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</si>
  <si>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</si>
  <si>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</si>
  <si>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</si>
  <si>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</si>
  <si>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</si>
  <si>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</si>
  <si>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</si>
  <si>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</si>
  <si>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</si>
  <si>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</si>
  <si>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</si>
  <si>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</si>
  <si>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</si>
  <si>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</si>
  <si>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</si>
  <si>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</si>
  <si>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</si>
  <si>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</si>
  <si>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</si>
  <si>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</si>
  <si>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</si>
  <si>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</si>
  <si>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</si>
  <si>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</si>
  <si>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</si>
  <si>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</si>
  <si>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</si>
  <si>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</si>
  <si>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</si>
  <si>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</si>
  <si>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</si>
  <si>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</si>
  <si>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</si>
  <si>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</si>
  <si>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</si>
  <si>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</si>
  <si>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</si>
  <si>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</si>
  <si>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</si>
  <si>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</si>
  <si>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</si>
  <si>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</si>
  <si>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</si>
  <si>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</si>
  <si>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</si>
  <si>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</si>
  <si>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</si>
  <si>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</si>
  <si>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</si>
  <si>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</si>
  <si>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</si>
  <si>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</si>
  <si>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</si>
  <si>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</si>
  <si>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</si>
  <si>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</si>
  <si>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</si>
  <si>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</si>
  <si>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</si>
  <si>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</si>
  <si>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</si>
  <si>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</si>
  <si>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</si>
  <si>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</si>
  <si>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</si>
  <si>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</si>
  <si>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</si>
  <si>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</si>
  <si>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</si>
  <si>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</si>
  <si>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</si>
  <si>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</si>
  <si>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</si>
  <si>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</si>
  <si>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</si>
  <si>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</si>
  <si>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</si>
  <si>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</si>
  <si>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</si>
  <si>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</si>
  <si>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</si>
  <si>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</si>
  <si>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</si>
  <si>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</si>
  <si>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</si>
  <si>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</si>
  <si>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</si>
  <si>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</si>
  <si>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</si>
  <si>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</si>
  <si>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</si>
  <si>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</si>
  <si>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</si>
  <si>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</si>
  <si>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</si>
  <si>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</si>
  <si>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</si>
  <si>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</si>
  <si>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</si>
  <si>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</si>
  <si>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</si>
  <si>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</si>
  <si>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</si>
  <si>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</si>
  <si>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</si>
  <si>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</si>
  <si>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</si>
  <si>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</si>
  <si>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</si>
  <si>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</si>
  <si>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</si>
  <si>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</si>
  <si>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</si>
  <si>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</si>
  <si>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</si>
  <si>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</si>
  <si>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</si>
  <si>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</si>
  <si>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</si>
  <si>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</si>
  <si>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</si>
  <si>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</si>
  <si>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11024</t>
  </si>
  <si>
    <t>KONTICH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</si>
  <si>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</si>
  <si>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</si>
  <si>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</si>
  <si>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</si>
  <si>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</si>
  <si>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</si>
  <si>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</si>
  <si>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Groeikracht Pierstraat NV</t>
  </si>
  <si>
    <t>Pierstraat 262, 2550 Kontich</t>
  </si>
  <si>
    <t>WKK-0031 Groeikracht Pierstraat</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</si>
  <si>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</si>
  <si>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</si>
  <si>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</si>
  <si>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</si>
  <si>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</si>
  <si>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</si>
  <si>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</si>
  <si>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</si>
  <si>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</si>
  <si>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</si>
  <si>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Eric Van Den Eynde</t>
  </si>
  <si>
    <t>Pierstraat 350, 2550 Kontich</t>
  </si>
  <si>
    <t>WKK-0096 Eric Van Den Eynde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</si>
</sst>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11024</v>
      </c>
      <c r="B6" s="396"/>
      <c r="C6" s="397"/>
    </row>
    <row r="7" spans="1:7" s="394" customFormat="1" ht="15.75" customHeight="1">
      <c r="A7" s="398" t="str">
        <f>txtMunicipality</f>
        <v>KONTICH</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8283</v>
      </c>
      <c r="C9" s="336">
        <v>8491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893</v>
      </c>
    </row>
    <row r="15" spans="1:6">
      <c r="A15" s="1251" t="s">
        <v>185</v>
      </c>
      <c r="B15" s="333">
        <v>249</v>
      </c>
    </row>
    <row r="16" spans="1:6">
      <c r="A16" s="1251" t="s">
        <v>6</v>
      </c>
      <c r="B16" s="333">
        <v>748</v>
      </c>
    </row>
    <row r="17" spans="1:6">
      <c r="A17" s="1251" t="s">
        <v>7</v>
      </c>
      <c r="B17" s="333">
        <v>75</v>
      </c>
    </row>
    <row r="18" spans="1:6">
      <c r="A18" s="1251" t="s">
        <v>8</v>
      </c>
      <c r="B18" s="333">
        <v>504</v>
      </c>
    </row>
    <row r="19" spans="1:6">
      <c r="A19" s="1251" t="s">
        <v>9</v>
      </c>
      <c r="B19" s="333">
        <v>514</v>
      </c>
    </row>
    <row r="20" spans="1:6">
      <c r="A20" s="1251" t="s">
        <v>10</v>
      </c>
      <c r="B20" s="333">
        <v>447</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176</v>
      </c>
    </row>
    <row r="27" spans="1:6">
      <c r="A27" s="1251" t="s">
        <v>17</v>
      </c>
      <c r="B27" s="333">
        <v>0</v>
      </c>
    </row>
    <row r="28" spans="1:6">
      <c r="A28" s="1251" t="s">
        <v>18</v>
      </c>
      <c r="B28" s="333">
        <v>0</v>
      </c>
    </row>
    <row r="29" spans="1:6">
      <c r="A29" s="1251" t="s">
        <v>925</v>
      </c>
      <c r="B29" s="333">
        <v>71</v>
      </c>
    </row>
    <row r="30" spans="1:6">
      <c r="A30" s="1247" t="s">
        <v>926</v>
      </c>
      <c r="B30" s="1247">
        <v>26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22532017.019299999</v>
      </c>
      <c r="E38" s="333">
        <v>3</v>
      </c>
      <c r="F38" s="333">
        <v>128852.758644684</v>
      </c>
    </row>
    <row r="39" spans="1:6">
      <c r="A39" s="1251" t="s">
        <v>30</v>
      </c>
      <c r="B39" s="1251" t="s">
        <v>31</v>
      </c>
      <c r="C39" s="333">
        <v>6535</v>
      </c>
      <c r="D39" s="333">
        <v>113647795.950996</v>
      </c>
      <c r="E39" s="333">
        <v>8175</v>
      </c>
      <c r="F39" s="333">
        <v>37459184.755739197</v>
      </c>
    </row>
    <row r="40" spans="1:6">
      <c r="A40" s="1251" t="s">
        <v>30</v>
      </c>
      <c r="B40" s="1251" t="s">
        <v>29</v>
      </c>
      <c r="C40" s="333">
        <v>0</v>
      </c>
      <c r="D40" s="333">
        <v>0</v>
      </c>
      <c r="E40" s="333">
        <v>2</v>
      </c>
      <c r="F40" s="333">
        <v>7369.9450930569001</v>
      </c>
    </row>
    <row r="41" spans="1:6">
      <c r="A41" s="1251" t="s">
        <v>32</v>
      </c>
      <c r="B41" s="1251" t="s">
        <v>33</v>
      </c>
      <c r="C41" s="333">
        <v>61</v>
      </c>
      <c r="D41" s="333">
        <v>4387533.6987732695</v>
      </c>
      <c r="E41" s="333">
        <v>135</v>
      </c>
      <c r="F41" s="333">
        <v>3728621.1246416499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5</v>
      </c>
      <c r="D44" s="333">
        <v>162865.43518156599</v>
      </c>
      <c r="E44" s="333">
        <v>9</v>
      </c>
      <c r="F44" s="333">
        <v>197839.01703141499</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232572.27074266199</v>
      </c>
      <c r="E47" s="333">
        <v>8</v>
      </c>
      <c r="F47" s="333">
        <v>2066840.14958419</v>
      </c>
    </row>
    <row r="48" spans="1:6">
      <c r="A48" s="1251" t="s">
        <v>32</v>
      </c>
      <c r="B48" s="1251" t="s">
        <v>29</v>
      </c>
      <c r="C48" s="333">
        <v>39</v>
      </c>
      <c r="D48" s="333">
        <v>5682945.74480634</v>
      </c>
      <c r="E48" s="333">
        <v>43</v>
      </c>
      <c r="F48" s="333">
        <v>5955797.9711984899</v>
      </c>
    </row>
    <row r="49" spans="1:6">
      <c r="A49" s="1251" t="s">
        <v>32</v>
      </c>
      <c r="B49" s="1251" t="s">
        <v>40</v>
      </c>
      <c r="C49" s="333">
        <v>0</v>
      </c>
      <c r="D49" s="333">
        <v>0</v>
      </c>
      <c r="E49" s="333">
        <v>4</v>
      </c>
      <c r="F49" s="333">
        <v>161152.33526312999</v>
      </c>
    </row>
    <row r="50" spans="1:6">
      <c r="A50" s="1251" t="s">
        <v>32</v>
      </c>
      <c r="B50" s="1251" t="s">
        <v>41</v>
      </c>
      <c r="C50" s="333">
        <v>14</v>
      </c>
      <c r="D50" s="333">
        <v>2077426.0307258901</v>
      </c>
      <c r="E50" s="333">
        <v>15</v>
      </c>
      <c r="F50" s="333">
        <v>1610717.1517554999</v>
      </c>
    </row>
    <row r="51" spans="1:6">
      <c r="A51" s="1251" t="s">
        <v>42</v>
      </c>
      <c r="B51" s="1251" t="s">
        <v>43</v>
      </c>
      <c r="C51" s="333">
        <v>5</v>
      </c>
      <c r="D51" s="333">
        <v>44715745.733090498</v>
      </c>
      <c r="E51" s="333">
        <v>56</v>
      </c>
      <c r="F51" s="333">
        <v>1402206.33968483</v>
      </c>
    </row>
    <row r="52" spans="1:6">
      <c r="A52" s="1251" t="s">
        <v>42</v>
      </c>
      <c r="B52" s="1251" t="s">
        <v>29</v>
      </c>
      <c r="C52" s="333">
        <v>5</v>
      </c>
      <c r="D52" s="333">
        <v>29204043.4865514</v>
      </c>
      <c r="E52" s="333">
        <v>5</v>
      </c>
      <c r="F52" s="333">
        <v>102737.455419096</v>
      </c>
    </row>
    <row r="53" spans="1:6">
      <c r="A53" s="1251" t="s">
        <v>44</v>
      </c>
      <c r="B53" s="1251" t="s">
        <v>45</v>
      </c>
      <c r="C53" s="333">
        <v>215</v>
      </c>
      <c r="D53" s="333">
        <v>5194980.6022456596</v>
      </c>
      <c r="E53" s="333">
        <v>327</v>
      </c>
      <c r="F53" s="333">
        <v>2804637.9410197302</v>
      </c>
    </row>
    <row r="54" spans="1:6">
      <c r="A54" s="1251" t="s">
        <v>46</v>
      </c>
      <c r="B54" s="1251" t="s">
        <v>47</v>
      </c>
      <c r="C54" s="333">
        <v>0</v>
      </c>
      <c r="D54" s="333">
        <v>0</v>
      </c>
      <c r="E54" s="333">
        <v>1</v>
      </c>
      <c r="F54" s="333">
        <v>1323618</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35</v>
      </c>
      <c r="D57" s="333">
        <v>4362367.3349748896</v>
      </c>
      <c r="E57" s="333">
        <v>57</v>
      </c>
      <c r="F57" s="333">
        <v>2249414.3013087199</v>
      </c>
    </row>
    <row r="58" spans="1:6">
      <c r="A58" s="1251" t="s">
        <v>49</v>
      </c>
      <c r="B58" s="1251" t="s">
        <v>51</v>
      </c>
      <c r="C58" s="333">
        <v>23</v>
      </c>
      <c r="D58" s="333">
        <v>670870.88843169902</v>
      </c>
      <c r="E58" s="333">
        <v>30</v>
      </c>
      <c r="F58" s="333">
        <v>927247.03481103503</v>
      </c>
    </row>
    <row r="59" spans="1:6">
      <c r="A59" s="1251" t="s">
        <v>49</v>
      </c>
      <c r="B59" s="1251" t="s">
        <v>52</v>
      </c>
      <c r="C59" s="333">
        <v>174</v>
      </c>
      <c r="D59" s="333">
        <v>16306117.684677901</v>
      </c>
      <c r="E59" s="333">
        <v>295</v>
      </c>
      <c r="F59" s="333">
        <v>18024148.114503499</v>
      </c>
    </row>
    <row r="60" spans="1:6">
      <c r="A60" s="1251" t="s">
        <v>49</v>
      </c>
      <c r="B60" s="1251" t="s">
        <v>53</v>
      </c>
      <c r="C60" s="333">
        <v>53</v>
      </c>
      <c r="D60" s="333">
        <v>2903110.01381031</v>
      </c>
      <c r="E60" s="333">
        <v>68</v>
      </c>
      <c r="F60" s="333">
        <v>2366960.8715147502</v>
      </c>
    </row>
    <row r="61" spans="1:6">
      <c r="A61" s="1251" t="s">
        <v>49</v>
      </c>
      <c r="B61" s="1251" t="s">
        <v>54</v>
      </c>
      <c r="C61" s="333">
        <v>229</v>
      </c>
      <c r="D61" s="333">
        <v>16201815.9646664</v>
      </c>
      <c r="E61" s="333">
        <v>470</v>
      </c>
      <c r="F61" s="333">
        <v>16758765.5023129</v>
      </c>
    </row>
    <row r="62" spans="1:6">
      <c r="A62" s="1251" t="s">
        <v>49</v>
      </c>
      <c r="B62" s="1251" t="s">
        <v>55</v>
      </c>
      <c r="C62" s="333">
        <v>17</v>
      </c>
      <c r="D62" s="333">
        <v>2940670.82071089</v>
      </c>
      <c r="E62" s="333">
        <v>14</v>
      </c>
      <c r="F62" s="333">
        <v>914733.42449352203</v>
      </c>
    </row>
    <row r="63" spans="1:6">
      <c r="A63" s="1251" t="s">
        <v>49</v>
      </c>
      <c r="B63" s="1251" t="s">
        <v>29</v>
      </c>
      <c r="C63" s="333">
        <v>118</v>
      </c>
      <c r="D63" s="333">
        <v>19790215.035258301</v>
      </c>
      <c r="E63" s="333">
        <v>114</v>
      </c>
      <c r="F63" s="333">
        <v>2541366.7045269101</v>
      </c>
    </row>
    <row r="64" spans="1:6">
      <c r="A64" s="1251" t="s">
        <v>56</v>
      </c>
      <c r="B64" s="1251" t="s">
        <v>57</v>
      </c>
      <c r="C64" s="333">
        <v>0</v>
      </c>
      <c r="D64" s="333">
        <v>0</v>
      </c>
      <c r="E64" s="333">
        <v>0</v>
      </c>
      <c r="F64" s="333">
        <v>0</v>
      </c>
    </row>
    <row r="65" spans="1:6">
      <c r="A65" s="1251" t="s">
        <v>56</v>
      </c>
      <c r="B65" s="1251" t="s">
        <v>29</v>
      </c>
      <c r="C65" s="333">
        <v>1</v>
      </c>
      <c r="D65" s="333">
        <v>34608.077618153096</v>
      </c>
      <c r="E65" s="333">
        <v>2</v>
      </c>
      <c r="F65" s="333">
        <v>36564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33555.934905421796</v>
      </c>
      <c r="E68" s="333">
        <v>9</v>
      </c>
      <c r="F68" s="333">
        <v>257442.87933045501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134354633</v>
      </c>
      <c r="E73" s="333">
        <v>148925219.32812622</v>
      </c>
      <c r="F73" s="333">
        <v>137018350</v>
      </c>
    </row>
    <row r="74" spans="1:6">
      <c r="A74" s="1251" t="s">
        <v>64</v>
      </c>
      <c r="B74" s="1251" t="s">
        <v>775</v>
      </c>
      <c r="C74" s="1262" t="s">
        <v>776</v>
      </c>
      <c r="D74" s="333">
        <v>22311611.518589329</v>
      </c>
      <c r="E74" s="333">
        <v>23405748.638200089</v>
      </c>
      <c r="F74" s="333">
        <v>22588153.866374336</v>
      </c>
    </row>
    <row r="75" spans="1:6">
      <c r="A75" s="1251" t="s">
        <v>65</v>
      </c>
      <c r="B75" s="1251" t="s">
        <v>773</v>
      </c>
      <c r="C75" s="1262" t="s">
        <v>777</v>
      </c>
      <c r="D75" s="333">
        <v>32312562</v>
      </c>
      <c r="E75" s="333">
        <v>34751155.99941092</v>
      </c>
      <c r="F75" s="333">
        <v>32271004</v>
      </c>
    </row>
    <row r="76" spans="1:6">
      <c r="A76" s="1251" t="s">
        <v>65</v>
      </c>
      <c r="B76" s="1251" t="s">
        <v>775</v>
      </c>
      <c r="C76" s="1262" t="s">
        <v>778</v>
      </c>
      <c r="D76" s="333">
        <v>3496903.518589329</v>
      </c>
      <c r="E76" s="333">
        <v>3670357.6113872821</v>
      </c>
      <c r="F76" s="333">
        <v>3539798.8663743366</v>
      </c>
    </row>
    <row r="77" spans="1:6">
      <c r="A77" s="1251" t="s">
        <v>66</v>
      </c>
      <c r="B77" s="1251" t="s">
        <v>773</v>
      </c>
      <c r="C77" s="1262" t="s">
        <v>779</v>
      </c>
      <c r="D77" s="333">
        <v>195309524</v>
      </c>
      <c r="E77" s="333">
        <v>229290403.7434665</v>
      </c>
      <c r="F77" s="333">
        <v>208238774</v>
      </c>
    </row>
    <row r="78" spans="1:6">
      <c r="A78" s="1247" t="s">
        <v>66</v>
      </c>
      <c r="B78" s="1247" t="s">
        <v>775</v>
      </c>
      <c r="C78" s="1247" t="s">
        <v>780</v>
      </c>
      <c r="D78" s="1247">
        <v>21085727</v>
      </c>
      <c r="E78" s="1247">
        <v>26157884.905600578</v>
      </c>
      <c r="F78" s="336">
        <v>23995245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594210.96282134182</v>
      </c>
      <c r="C83" s="333">
        <v>547762.94476341119</v>
      </c>
      <c r="D83" s="333">
        <v>554040.26725132694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1591.1729914309842</v>
      </c>
    </row>
    <row r="92" spans="1:6">
      <c r="A92" s="1247" t="s">
        <v>69</v>
      </c>
      <c r="B92" s="336">
        <v>2612.5905214614404</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5036</v>
      </c>
    </row>
    <row r="98" spans="1:6">
      <c r="A98" s="1251" t="s">
        <v>72</v>
      </c>
      <c r="B98" s="333">
        <v>8</v>
      </c>
    </row>
    <row r="99" spans="1:6">
      <c r="A99" s="1251" t="s">
        <v>73</v>
      </c>
      <c r="B99" s="333">
        <v>24</v>
      </c>
    </row>
    <row r="100" spans="1:6">
      <c r="A100" s="1251" t="s">
        <v>74</v>
      </c>
      <c r="B100" s="333">
        <v>636</v>
      </c>
    </row>
    <row r="101" spans="1:6">
      <c r="A101" s="1251" t="s">
        <v>75</v>
      </c>
      <c r="B101" s="333">
        <v>60</v>
      </c>
    </row>
    <row r="102" spans="1:6">
      <c r="A102" s="1251" t="s">
        <v>76</v>
      </c>
      <c r="B102" s="333">
        <v>89</v>
      </c>
    </row>
    <row r="103" spans="1:6">
      <c r="A103" s="1251" t="s">
        <v>77</v>
      </c>
      <c r="B103" s="333">
        <v>100</v>
      </c>
    </row>
    <row r="104" spans="1:6">
      <c r="A104" s="1251" t="s">
        <v>78</v>
      </c>
      <c r="B104" s="333">
        <v>1453</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5</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57</v>
      </c>
    </row>
    <row r="130" spans="1:6">
      <c r="A130" s="1251" t="s">
        <v>296</v>
      </c>
      <c r="B130" s="333">
        <v>0</v>
      </c>
    </row>
    <row r="131" spans="1:6">
      <c r="A131" s="1251" t="s">
        <v>297</v>
      </c>
      <c r="B131" s="333">
        <v>2</v>
      </c>
    </row>
    <row r="132" spans="1:6">
      <c r="A132" s="1247" t="s">
        <v>298</v>
      </c>
      <c r="B132" s="336">
        <v>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108518.78322268746</v>
      </c>
      <c r="C3" s="43" t="s">
        <v>171</v>
      </c>
      <c r="D3" s="43"/>
      <c r="E3" s="156"/>
      <c r="F3" s="43"/>
      <c r="G3" s="43"/>
      <c r="H3" s="43"/>
      <c r="I3" s="43"/>
      <c r="J3" s="43"/>
      <c r="K3" s="96"/>
    </row>
    <row r="4" spans="1:11">
      <c r="A4" s="364" t="s">
        <v>172</v>
      </c>
      <c r="B4" s="49">
        <f>IF(ISERROR('SEAP template'!B69),0,'SEAP template'!B69)</f>
        <v>51498.763512892423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11239.517647058825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0.21969415150924052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16056.45378151261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67564.28571428571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0.23764705882352949</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1323.6179999999999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1323.6179999999999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0.21969415150924052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290.79113343235792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37466.554700832254</v>
      </c>
      <c r="C5" s="17">
        <f>IF(ISERROR('Eigen informatie GS &amp; warmtenet'!B57),0,'Eigen informatie GS &amp; warmtenet'!B57)</f>
        <v>0</v>
      </c>
      <c r="D5" s="30">
        <f>(SUM(HH_hh_gas_kWh,HH_rest_gas_kWh)/1000)*0.902</f>
        <v>102510.31194779839</v>
      </c>
      <c r="E5" s="17">
        <f>B46*B57</f>
        <v>1193.0415264562071</v>
      </c>
      <c r="F5" s="17">
        <f>B51*B62</f>
        <v>0</v>
      </c>
      <c r="G5" s="18"/>
      <c r="H5" s="17"/>
      <c r="I5" s="17"/>
      <c r="J5" s="17">
        <f>B50*B61+C50*C61</f>
        <v>0</v>
      </c>
      <c r="K5" s="17"/>
      <c r="L5" s="17"/>
      <c r="M5" s="17"/>
      <c r="N5" s="17">
        <f>B48*B59+C48*C59</f>
        <v>8629.695465433786</v>
      </c>
      <c r="O5" s="17">
        <f>B69*B70*B71</f>
        <v>103.17999999999999</v>
      </c>
      <c r="P5" s="17">
        <f>B77*B78*B79/1000-B77*B78*B79/1000/B80</f>
        <v>152.53333333333333</v>
      </c>
    </row>
    <row r="6" spans="1:16">
      <c r="A6" s="16" t="s">
        <v>633</v>
      </c>
      <c r="B6" s="830">
        <f>kWh_PV_kleiner_dan_10kW</f>
        <v>1591.1729914309842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39057.727692263237</v>
      </c>
      <c r="C8" s="21">
        <f>C5</f>
        <v>0</v>
      </c>
      <c r="D8" s="21">
        <f>D5</f>
        <v>102510.31194779839</v>
      </c>
      <c r="E8" s="21">
        <f>E5</f>
        <v>1193.0415264562071</v>
      </c>
      <c r="F8" s="21">
        <f>F5</f>
        <v>0</v>
      </c>
      <c r="G8" s="21"/>
      <c r="H8" s="21"/>
      <c r="I8" s="21"/>
      <c r="J8" s="21">
        <f>J5</f>
        <v>0</v>
      </c>
      <c r="K8" s="21"/>
      <c r="L8" s="21">
        <f>L5</f>
        <v>0</v>
      </c>
      <c r="M8" s="21">
        <f>M5</f>
        <v>0</v>
      </c>
      <c r="N8" s="21">
        <f>N5</f>
        <v>8629.695465433786</v>
      </c>
      <c r="O8" s="21">
        <f>O5</f>
        <v>103.17999999999999</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0.21969415150924052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8580.7543452307382</v>
      </c>
      <c r="C12" s="23">
        <f ca="1">C10*C8</f>
        <v>0</v>
      </c>
      <c r="D12" s="23">
        <f>D8*D10</f>
        <v>20707.083013455274</v>
      </c>
      <c r="E12" s="23">
        <f>E10*E8</f>
        <v>270.820426505559</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5036</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3.3333333333333335</v>
      </c>
      <c r="D20" s="230"/>
      <c r="E20" s="15"/>
    </row>
    <row r="21" spans="1:7">
      <c r="A21" s="172" t="s">
        <v>74</v>
      </c>
      <c r="B21" s="37">
        <f>aantalw2001_elektriciteit</f>
        <v>636</v>
      </c>
      <c r="C21" s="168">
        <f>IF(ISERROR(B21/SUM($B$20,$B$21,$B$22)*100),0,B21/SUM($B$20,$B$21,$B$22)*100)</f>
        <v>88.333333333333329</v>
      </c>
      <c r="D21" s="230"/>
      <c r="E21" s="15"/>
    </row>
    <row r="22" spans="1:7">
      <c r="A22" s="172" t="s">
        <v>75</v>
      </c>
      <c r="B22" s="37">
        <f>aantalw2001_hout</f>
        <v>60</v>
      </c>
      <c r="C22" s="168">
        <f>IF(ISERROR(B22/SUM($B$20,$B$21,$B$22)*100),0,B22/SUM($B$20,$B$21,$B$22)*100)</f>
        <v>8.3333333333333321</v>
      </c>
      <c r="D22" s="230"/>
      <c r="E22" s="15"/>
    </row>
    <row r="23" spans="1:7">
      <c r="A23" s="172" t="s">
        <v>76</v>
      </c>
      <c r="B23" s="37">
        <f>aantalw2001_niet_gespec</f>
        <v>89</v>
      </c>
      <c r="C23" s="167" t="s">
        <v>111</v>
      </c>
      <c r="D23" s="229"/>
      <c r="E23" s="15"/>
    </row>
    <row r="24" spans="1:7">
      <c r="A24" s="172" t="s">
        <v>77</v>
      </c>
      <c r="B24" s="37">
        <f>aantalw2001_steenkool</f>
        <v>100</v>
      </c>
      <c r="C24" s="167" t="s">
        <v>111</v>
      </c>
      <c r="D24" s="230"/>
      <c r="E24" s="15"/>
    </row>
    <row r="25" spans="1:7">
      <c r="A25" s="172" t="s">
        <v>78</v>
      </c>
      <c r="B25" s="37">
        <f>aantalw2001_stookolie</f>
        <v>1453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8283</v>
      </c>
      <c r="C28" s="36"/>
      <c r="D28" s="229"/>
    </row>
    <row r="29" spans="1:7" s="15" customFormat="1">
      <c r="A29" s="231" t="s">
        <v>714</v>
      </c>
      <c r="B29" s="37">
        <f>SUM(HH_hh_gas_aantal,HH_rest_gas_aantal)</f>
        <v>6535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6535</v>
      </c>
      <c r="C32" s="168">
        <f>IF(ISERROR(B32/SUM($B$32,$B$34,$B$35,$B$36,$B$38,$B$39)*100),0,B32/SUM($B$32,$B$34,$B$35,$B$36,$B$38,$B$39)*100)</f>
        <v>78.972809667673715</v>
      </c>
      <c r="D32" s="234"/>
      <c r="G32" s="15"/>
    </row>
    <row r="33" spans="1:7">
      <c r="A33" s="172" t="s">
        <v>72</v>
      </c>
      <c r="B33" s="34" t="s">
        <v>111</v>
      </c>
      <c r="C33" s="168"/>
      <c r="D33" s="234"/>
      <c r="G33" s="15"/>
    </row>
    <row r="34" spans="1:7">
      <c r="A34" s="172" t="s">
        <v>73</v>
      </c>
      <c r="B34" s="33">
        <f>IF((($B$28-$B$32-$B$39-$B$77-$B$38)*C20/100)&lt;0,0,($B$28-$B$32-$B$39-$B$77-$B$38)*C20/100)</f>
        <v>58</v>
      </c>
      <c r="C34" s="168">
        <f>IF(ISERROR(B34/SUM($B$32,$B$34,$B$35,$B$36,$B$38,$B$39)*100),0,B34/SUM($B$32,$B$34,$B$35,$B$36,$B$38,$B$39)*100)</f>
        <v>0.70090634441087618</v>
      </c>
      <c r="D34" s="234"/>
      <c r="G34" s="15"/>
    </row>
    <row r="35" spans="1:7">
      <c r="A35" s="172" t="s">
        <v>74</v>
      </c>
      <c r="B35" s="33">
        <f>IF((($B$28-$B$32-$B$39-$B$77-$B$38)*C21/100)&lt;0,0,($B$28-$B$32-$B$39-$B$77-$B$38)*C21/100)</f>
        <v>1537</v>
      </c>
      <c r="C35" s="168">
        <f>IF(ISERROR(B35/SUM($B$32,$B$34,$B$35,$B$36,$B$38,$B$39)*100),0,B35/SUM($B$32,$B$34,$B$35,$B$36,$B$38,$B$39)*100)</f>
        <v>18.574018126888216</v>
      </c>
      <c r="D35" s="234"/>
      <c r="G35" s="15"/>
    </row>
    <row r="36" spans="1:7">
      <c r="A36" s="172" t="s">
        <v>75</v>
      </c>
      <c r="B36" s="33">
        <f>IF((($B$28-$B$32-$B$39-$B$77-$B$38)*C22/100)&lt;0,0,($B$28-$B$32-$B$39-$B$77-$B$38)*C22/100)</f>
        <v>144.99999999999997</v>
      </c>
      <c r="C36" s="168">
        <f>IF(ISERROR(B36/SUM($B$32,$B$34,$B$35,$B$36,$B$38,$B$39)*100),0,B36/SUM($B$32,$B$34,$B$35,$B$36,$B$38,$B$39)*100)</f>
        <v>1.75226586102719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6535</v>
      </c>
      <c r="C44" s="34" t="s">
        <v>111</v>
      </c>
      <c r="D44" s="175"/>
    </row>
    <row r="45" spans="1:7">
      <c r="A45" s="172" t="s">
        <v>72</v>
      </c>
      <c r="B45" s="33" t="str">
        <f t="shared" si="0"/>
        <v>-</v>
      </c>
      <c r="C45" s="34" t="s">
        <v>111</v>
      </c>
      <c r="D45" s="175"/>
    </row>
    <row r="46" spans="1:7">
      <c r="A46" s="172" t="s">
        <v>73</v>
      </c>
      <c r="B46" s="33">
        <f t="shared" si="0"/>
        <v>58</v>
      </c>
      <c r="C46" s="34" t="s">
        <v>111</v>
      </c>
      <c r="D46" s="175"/>
    </row>
    <row r="47" spans="1:7">
      <c r="A47" s="172" t="s">
        <v>74</v>
      </c>
      <c r="B47" s="33">
        <f t="shared" si="0"/>
        <v>1537</v>
      </c>
      <c r="C47" s="34" t="s">
        <v>111</v>
      </c>
      <c r="D47" s="175"/>
    </row>
    <row r="48" spans="1:7">
      <c r="A48" s="172" t="s">
        <v>75</v>
      </c>
      <c r="B48" s="33">
        <f t="shared" si="0"/>
        <v>144.99999999999997</v>
      </c>
      <c r="C48" s="33">
        <f>B48*10</f>
        <v>1449.9999999999998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43782.635953471341</v>
      </c>
      <c r="C5" s="17">
        <f>IF(ISERROR('Eigen informatie GS &amp; warmtenet'!B58),0,'Eigen informatie GS &amp; warmtenet'!B58)</f>
        <v>0</v>
      </c>
      <c r="D5" s="30">
        <f>SUM(D6:D12)</f>
        <v>56984.001303762416</v>
      </c>
      <c r="E5" s="17">
        <f>SUM(E6:E12)</f>
        <v>881.98365358372007</v>
      </c>
      <c r="F5" s="17">
        <f>SUM(F6:F12)</f>
        <v>7720.4976750944143</v>
      </c>
      <c r="G5" s="18"/>
      <c r="H5" s="17"/>
      <c r="I5" s="17"/>
      <c r="J5" s="17">
        <f>SUM(J6:J12)</f>
        <v>0</v>
      </c>
      <c r="K5" s="17"/>
      <c r="L5" s="17"/>
      <c r="M5" s="17"/>
      <c r="N5" s="17">
        <f>SUM(N6:N12)</f>
        <v>739.2012474406863</v>
      </c>
      <c r="O5" s="17">
        <f>B38*B39*B40</f>
        <v>0</v>
      </c>
      <c r="P5" s="17">
        <f>B46*B47*B48/1000-B46*B47*B48/1000/B49</f>
        <v>38.133333333333333</v>
      </c>
      <c r="R5" s="32"/>
    </row>
    <row r="6" spans="1:18">
      <c r="A6" s="32" t="s">
        <v>54</v>
      </c>
      <c r="B6" s="37">
        <f>B26</f>
        <v>16758.765502312901</v>
      </c>
      <c r="C6" s="33"/>
      <c r="D6" s="37">
        <f>IF(ISERROR(TER_kantoor_gas_kWh/1000),0,TER_kantoor_gas_kWh/1000)*0.902</f>
        <v>14614.038000129094</v>
      </c>
      <c r="E6" s="33">
        <f>$C$26*'E Balans VL '!I12/100/3.6*1000000</f>
        <v>586.6227173183571</v>
      </c>
      <c r="F6" s="33">
        <f>$C$26*('E Balans VL '!L12+'E Balans VL '!N12)/100/3.6*1000000</f>
        <v>2540.9886573201834</v>
      </c>
      <c r="G6" s="34"/>
      <c r="H6" s="33"/>
      <c r="I6" s="33"/>
      <c r="J6" s="33">
        <f>$C$26*('E Balans VL '!D12+'E Balans VL '!E12)/100/3.6*1000000</f>
        <v>0</v>
      </c>
      <c r="K6" s="33"/>
      <c r="L6" s="33"/>
      <c r="M6" s="33"/>
      <c r="N6" s="33">
        <f>$C$26*'E Balans VL '!Y12/100/3.6*1000000</f>
        <v>129.54001198363503</v>
      </c>
      <c r="O6" s="33"/>
      <c r="P6" s="33"/>
      <c r="R6" s="32"/>
    </row>
    <row r="7" spans="1:18">
      <c r="A7" s="32" t="s">
        <v>53</v>
      </c>
      <c r="B7" s="37">
        <f t="shared" ref="B7:B12" si="0">B27</f>
        <v>2366.9608715147501</v>
      </c>
      <c r="C7" s="33"/>
      <c r="D7" s="37">
        <f>IF(ISERROR(TER_horeca_gas_kWh/1000),0,TER_horeca_gas_kWh/1000)*0.902</f>
        <v>2618.6052324569</v>
      </c>
      <c r="E7" s="33">
        <f>$C$27*'E Balans VL '!I9/100/3.6*1000000</f>
        <v>133.52806606806962</v>
      </c>
      <c r="F7" s="33">
        <f>$C$27*('E Balans VL '!L9+'E Balans VL '!N9)/100/3.6*1000000</f>
        <v>412.3376827475148</v>
      </c>
      <c r="G7" s="34"/>
      <c r="H7" s="33"/>
      <c r="I7" s="33"/>
      <c r="J7" s="33">
        <f>$C$27*('E Balans VL '!D9+'E Balans VL '!E9)/100/3.6*1000000</f>
        <v>0</v>
      </c>
      <c r="K7" s="33"/>
      <c r="L7" s="33"/>
      <c r="M7" s="33"/>
      <c r="N7" s="33">
        <f>$C$27*'E Balans VL '!Y9/100/3.6*1000000</f>
        <v>0</v>
      </c>
      <c r="O7" s="33"/>
      <c r="P7" s="33"/>
      <c r="R7" s="32"/>
    </row>
    <row r="8" spans="1:18">
      <c r="A8" s="6" t="s">
        <v>52</v>
      </c>
      <c r="B8" s="37">
        <f t="shared" si="0"/>
        <v>18024.1481145035</v>
      </c>
      <c r="C8" s="33"/>
      <c r="D8" s="37">
        <f>IF(ISERROR(TER_handel_gas_kWh/1000),0,TER_handel_gas_kWh/1000)*0.902</f>
        <v>14708.118151579467</v>
      </c>
      <c r="E8" s="33">
        <f>$C$28*'E Balans VL '!I13/100/3.6*1000000</f>
        <v>92.534145192971494</v>
      </c>
      <c r="F8" s="33">
        <f>$C$28*('E Balans VL '!L13+'E Balans VL '!N13)/100/3.6*1000000</f>
        <v>2779.0451375786247</v>
      </c>
      <c r="G8" s="34"/>
      <c r="H8" s="33"/>
      <c r="I8" s="33"/>
      <c r="J8" s="33">
        <f>$C$28*('E Balans VL '!D13+'E Balans VL '!E13)/100/3.6*1000000</f>
        <v>0</v>
      </c>
      <c r="K8" s="33"/>
      <c r="L8" s="33"/>
      <c r="M8" s="33"/>
      <c r="N8" s="33">
        <f>$C$28*'E Balans VL '!Y13/100/3.6*1000000</f>
        <v>8.430114087495781</v>
      </c>
      <c r="O8" s="33"/>
      <c r="P8" s="33"/>
      <c r="R8" s="32"/>
    </row>
    <row r="9" spans="1:18">
      <c r="A9" s="32" t="s">
        <v>51</v>
      </c>
      <c r="B9" s="37">
        <f t="shared" si="0"/>
        <v>927.24703481103506</v>
      </c>
      <c r="C9" s="33"/>
      <c r="D9" s="37">
        <f>IF(ISERROR(TER_gezond_gas_kWh/1000),0,TER_gezond_gas_kWh/1000)*0.902</f>
        <v>605.12554136539245</v>
      </c>
      <c r="E9" s="33">
        <f>$C$29*'E Balans VL '!I10/100/3.6*1000000</f>
        <v>0.38433729231246433</v>
      </c>
      <c r="F9" s="33">
        <f>$C$29*('E Balans VL '!L10+'E Balans VL '!N10)/100/3.6*1000000</f>
        <v>228.36764617755875</v>
      </c>
      <c r="G9" s="34"/>
      <c r="H9" s="33"/>
      <c r="I9" s="33"/>
      <c r="J9" s="33">
        <f>$C$29*('E Balans VL '!D10+'E Balans VL '!E10)/100/3.6*1000000</f>
        <v>0</v>
      </c>
      <c r="K9" s="33"/>
      <c r="L9" s="33"/>
      <c r="M9" s="33"/>
      <c r="N9" s="33">
        <f>$C$29*'E Balans VL '!Y10/100/3.6*1000000</f>
        <v>8.0137094331936503</v>
      </c>
      <c r="O9" s="33"/>
      <c r="P9" s="33"/>
      <c r="R9" s="32"/>
    </row>
    <row r="10" spans="1:18">
      <c r="A10" s="32" t="s">
        <v>50</v>
      </c>
      <c r="B10" s="37">
        <f t="shared" si="0"/>
        <v>2249.41430130872</v>
      </c>
      <c r="C10" s="33"/>
      <c r="D10" s="37">
        <f>IF(ISERROR(TER_ander_gas_kWh/1000),0,TER_ander_gas_kWh/1000)*0.902</f>
        <v>3934.8553361473505</v>
      </c>
      <c r="E10" s="33">
        <f>$C$30*'E Balans VL '!I14/100/3.6*1000000</f>
        <v>13.712485079896458</v>
      </c>
      <c r="F10" s="33">
        <f>$C$30*('E Balans VL '!L14+'E Balans VL '!N14)/100/3.6*1000000</f>
        <v>596.35054475754464</v>
      </c>
      <c r="G10" s="34"/>
      <c r="H10" s="33"/>
      <c r="I10" s="33"/>
      <c r="J10" s="33">
        <f>$C$30*('E Balans VL '!D14+'E Balans VL '!E14)/100/3.6*1000000</f>
        <v>0</v>
      </c>
      <c r="K10" s="33"/>
      <c r="L10" s="33"/>
      <c r="M10" s="33"/>
      <c r="N10" s="33">
        <f>$C$30*'E Balans VL '!Y14/100/3.6*1000000</f>
        <v>518.4413901862348</v>
      </c>
      <c r="O10" s="33"/>
      <c r="P10" s="33"/>
      <c r="R10" s="32"/>
    </row>
    <row r="11" spans="1:18">
      <c r="A11" s="32" t="s">
        <v>55</v>
      </c>
      <c r="B11" s="37">
        <f t="shared" si="0"/>
        <v>914.73342449352208</v>
      </c>
      <c r="C11" s="33"/>
      <c r="D11" s="37">
        <f>IF(ISERROR(TER_onderwijs_gas_kWh/1000),0,TER_onderwijs_gas_kWh/1000)*0.902</f>
        <v>2652.485080281223</v>
      </c>
      <c r="E11" s="33">
        <f>$C$31*'E Balans VL '!I11/100/3.6*1000000</f>
        <v>0.69707450013666361</v>
      </c>
      <c r="F11" s="33">
        <f>$C$31*('E Balans VL '!L11+'E Balans VL '!N11)/100/3.6*1000000</f>
        <v>661.9512354409535</v>
      </c>
      <c r="G11" s="34"/>
      <c r="H11" s="33"/>
      <c r="I11" s="33"/>
      <c r="J11" s="33">
        <f>$C$31*('E Balans VL '!D11+'E Balans VL '!E11)/100/3.6*1000000</f>
        <v>0</v>
      </c>
      <c r="K11" s="33"/>
      <c r="L11" s="33"/>
      <c r="M11" s="33"/>
      <c r="N11" s="33">
        <f>$C$31*'E Balans VL '!Y11/100/3.6*1000000</f>
        <v>2.6959380192872264</v>
      </c>
      <c r="O11" s="33"/>
      <c r="P11" s="33"/>
      <c r="R11" s="32"/>
    </row>
    <row r="12" spans="1:18">
      <c r="A12" s="32" t="s">
        <v>261</v>
      </c>
      <c r="B12" s="37">
        <f t="shared" si="0"/>
        <v>2541.3667045269099</v>
      </c>
      <c r="C12" s="33"/>
      <c r="D12" s="37">
        <f>IF(ISERROR(TER_rest_gas_kWh/1000),0,TER_rest_gas_kWh/1000)*0.902</f>
        <v>17850.773961802988</v>
      </c>
      <c r="E12" s="33">
        <f>$C$32*'E Balans VL '!I8/100/3.6*1000000</f>
        <v>54.504828131976154</v>
      </c>
      <c r="F12" s="33">
        <f>$C$32*('E Balans VL '!L8+'E Balans VL '!N8)/100/3.6*1000000</f>
        <v>501.45677107203443</v>
      </c>
      <c r="G12" s="34"/>
      <c r="H12" s="33"/>
      <c r="I12" s="33"/>
      <c r="J12" s="33">
        <f>$C$32*('E Balans VL '!D8+'E Balans VL '!E8)/100/3.6*1000000</f>
        <v>0</v>
      </c>
      <c r="K12" s="33"/>
      <c r="L12" s="33"/>
      <c r="M12" s="33"/>
      <c r="N12" s="33">
        <f>$C$32*'E Balans VL '!Y8/100/3.6*1000000</f>
        <v>72.080083730839718</v>
      </c>
      <c r="O12" s="33"/>
      <c r="P12" s="33"/>
      <c r="R12" s="32"/>
    </row>
    <row r="13" spans="1:18">
      <c r="A13" s="16" t="s">
        <v>497</v>
      </c>
      <c r="B13" s="248">
        <f ca="1">'lokale energieproductie'!N90+'lokale energieproductie'!N59</f>
        <v>9126</v>
      </c>
      <c r="C13" s="248">
        <f ca="1">'lokale energieproductie'!O90+'lokale energieproductie'!O59</f>
        <v>13037.142857142857</v>
      </c>
      <c r="D13" s="311">
        <f ca="1">('lokale energieproductie'!P59+'lokale energieproductie'!P90)*(-1)</f>
        <v>-26074.285714285717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52908.635953471341</v>
      </c>
      <c r="C16" s="21">
        <f ca="1">C5+C13+C14</f>
        <v>13037.142857142857</v>
      </c>
      <c r="D16" s="21">
        <f t="shared" ref="D16:N16" ca="1" si="1">MAX((D5+D13+D14),0)</f>
        <v>30909.715589476698</v>
      </c>
      <c r="E16" s="21">
        <f t="shared" si="1"/>
        <v>881.98365358372007</v>
      </c>
      <c r="F16" s="21">
        <f t="shared" ca="1" si="1"/>
        <v>7720.4976750944143</v>
      </c>
      <c r="G16" s="21">
        <f t="shared" si="1"/>
        <v>0</v>
      </c>
      <c r="H16" s="21">
        <f t="shared" si="1"/>
        <v>0</v>
      </c>
      <c r="I16" s="21">
        <f t="shared" si="1"/>
        <v>0</v>
      </c>
      <c r="J16" s="21">
        <f t="shared" si="1"/>
        <v>0</v>
      </c>
      <c r="K16" s="21">
        <f t="shared" si="1"/>
        <v>0</v>
      </c>
      <c r="L16" s="21">
        <f t="shared" ca="1" si="1"/>
        <v>0</v>
      </c>
      <c r="M16" s="21">
        <f t="shared" si="1"/>
        <v>0</v>
      </c>
      <c r="N16" s="21">
        <f t="shared" ca="1" si="1"/>
        <v>739.2012474406863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0.21969415150924052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11623.717883309182</v>
      </c>
      <c r="C20" s="23">
        <f t="shared" ref="C20:P20" ca="1" si="2">C16*C18</f>
        <v>3098.2386554621858</v>
      </c>
      <c r="D20" s="23">
        <f t="shared" ca="1" si="2"/>
        <v>6243.762549074293</v>
      </c>
      <c r="E20" s="23">
        <f t="shared" si="2"/>
        <v>200.21028936350447</v>
      </c>
      <c r="F20" s="23">
        <f t="shared" ca="1" si="2"/>
        <v>2061.3728792502088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16758.765502312901</v>
      </c>
      <c r="C26" s="39">
        <f>IF(ISERROR(B26*3.6/1000000/'E Balans VL '!Z12*100),0,B26*3.6/1000000/'E Balans VL '!Z12*100)</f>
        <v>0.35266042767558453</v>
      </c>
      <c r="D26" s="238" t="s">
        <v>720</v>
      </c>
      <c r="F26" s="6"/>
    </row>
    <row r="27" spans="1:18">
      <c r="A27" s="232" t="s">
        <v>53</v>
      </c>
      <c r="B27" s="33">
        <f>IF(ISERROR(TER_horeca_ele_kWh/1000),0,TER_horeca_ele_kWh/1000)</f>
        <v>2366.9608715147501</v>
      </c>
      <c r="C27" s="39">
        <f>IF(ISERROR(B27*3.6/1000000/'E Balans VL '!Z9*100),0,B27*3.6/1000000/'E Balans VL '!Z9*100)</f>
        <v>0.20040392589269831</v>
      </c>
      <c r="D27" s="238" t="s">
        <v>720</v>
      </c>
      <c r="F27" s="6"/>
    </row>
    <row r="28" spans="1:18">
      <c r="A28" s="172" t="s">
        <v>52</v>
      </c>
      <c r="B28" s="33">
        <f>IF(ISERROR(TER_handel_ele_kWh/1000),0,TER_handel_ele_kWh/1000)</f>
        <v>18024.1481145035</v>
      </c>
      <c r="C28" s="39">
        <f>IF(ISERROR(B28*3.6/1000000/'E Balans VL '!Z13*100),0,B28*3.6/1000000/'E Balans VL '!Z13*100)</f>
        <v>0.4989960481880284</v>
      </c>
      <c r="D28" s="238" t="s">
        <v>720</v>
      </c>
      <c r="F28" s="6"/>
    </row>
    <row r="29" spans="1:18">
      <c r="A29" s="232" t="s">
        <v>51</v>
      </c>
      <c r="B29" s="33">
        <f>IF(ISERROR(TER_gezond_ele_kWh/1000),0,TER_gezond_ele_kWh/1000)</f>
        <v>927.24703481103506</v>
      </c>
      <c r="C29" s="39">
        <f>IF(ISERROR(B29*3.6/1000000/'E Balans VL '!Z10*100),0,B29*3.6/1000000/'E Balans VL '!Z10*100)</f>
        <v>0.12053183479354262</v>
      </c>
      <c r="D29" s="238" t="s">
        <v>720</v>
      </c>
      <c r="F29" s="6"/>
    </row>
    <row r="30" spans="1:18">
      <c r="A30" s="232" t="s">
        <v>50</v>
      </c>
      <c r="B30" s="33">
        <f>IF(ISERROR(TER_ander_ele_kWh/1000),0,TER_ander_ele_kWh/1000)</f>
        <v>2249.41430130872</v>
      </c>
      <c r="C30" s="39">
        <f>IF(ISERROR(B30*3.6/1000000/'E Balans VL '!Z14*100),0,B30*3.6/1000000/'E Balans VL '!Z14*100)</f>
        <v>0.17435023705641658</v>
      </c>
      <c r="D30" s="238" t="s">
        <v>720</v>
      </c>
      <c r="F30" s="6"/>
    </row>
    <row r="31" spans="1:18">
      <c r="A31" s="232" t="s">
        <v>55</v>
      </c>
      <c r="B31" s="33">
        <f>IF(ISERROR(TER_onderwijs_ele_kWh/1000),0,TER_onderwijs_ele_kWh/1000)</f>
        <v>914.73342449352208</v>
      </c>
      <c r="C31" s="39">
        <f>IF(ISERROR(B31*3.6/1000000/'E Balans VL '!Z11*100),0,B31*3.6/1000000/'E Balans VL '!Z11*100)</f>
        <v>0.17500409083331558</v>
      </c>
      <c r="D31" s="238" t="s">
        <v>720</v>
      </c>
    </row>
    <row r="32" spans="1:18">
      <c r="A32" s="232" t="s">
        <v>261</v>
      </c>
      <c r="B32" s="33">
        <f>IF(ISERROR(TER_rest_ele_kWh/1000),0,TER_rest_ele_kWh/1000)</f>
        <v>2541.3667045269099</v>
      </c>
      <c r="C32" s="39">
        <f>IF(ISERROR(B32*3.6/1000000/'E Balans VL '!Z8*100),0,B32*3.6/1000000/'E Balans VL '!Z8*100)</f>
        <v>2.0955520033868687E-2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13720.967749474376</v>
      </c>
      <c r="C5" s="17">
        <f>IF(ISERROR('Eigen informatie GS &amp; warmtenet'!B59),0,'Eigen informatie GS &amp; warmtenet'!B59)</f>
        <v>0</v>
      </c>
      <c r="D5" s="30">
        <f>SUM(D6:D15)</f>
        <v>11314.095548567215</v>
      </c>
      <c r="E5" s="17">
        <f>SUM(E6:E15)</f>
        <v>196.42094874699103</v>
      </c>
      <c r="F5" s="17">
        <f>SUM(F6:F15)</f>
        <v>4829.3232670982379</v>
      </c>
      <c r="G5" s="18"/>
      <c r="H5" s="17"/>
      <c r="I5" s="17"/>
      <c r="J5" s="17">
        <f>SUM(J6:J15)</f>
        <v>51.154608830118001</v>
      </c>
      <c r="K5" s="17"/>
      <c r="L5" s="17"/>
      <c r="M5" s="17"/>
      <c r="N5" s="17">
        <f>SUM(N6:N15)</f>
        <v>408.97856361967297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197.83901703141498</v>
      </c>
      <c r="C8" s="33"/>
      <c r="D8" s="37">
        <f>IF( ISERROR(IND_metaal_Gas_kWH/1000),0,IND_metaal_Gas_kWH/1000)*0.902</f>
        <v>146.90462253377254</v>
      </c>
      <c r="E8" s="33">
        <f>C30*'E Balans VL '!I18/100/3.6*1000000</f>
        <v>1.3901711214806753</v>
      </c>
      <c r="F8" s="33">
        <f>C30*'E Balans VL '!L18/100/3.6*1000000+C30*'E Balans VL '!N18/100/3.6*1000000</f>
        <v>21.721566597871441</v>
      </c>
      <c r="G8" s="34"/>
      <c r="H8" s="33"/>
      <c r="I8" s="33"/>
      <c r="J8" s="40">
        <f>C30*'E Balans VL '!D18/100/3.6*1000000+C30*'E Balans VL '!E18/100/3.6*1000000</f>
        <v>4.0818453419476626</v>
      </c>
      <c r="K8" s="33"/>
      <c r="L8" s="33"/>
      <c r="M8" s="33"/>
      <c r="N8" s="33">
        <f>C30*'E Balans VL '!Y18/100/3.6*1000000</f>
        <v>0.74151488418446709</v>
      </c>
      <c r="O8" s="33"/>
      <c r="P8" s="33"/>
      <c r="R8" s="32"/>
    </row>
    <row r="9" spans="1:18">
      <c r="A9" s="6" t="s">
        <v>33</v>
      </c>
      <c r="B9" s="37">
        <f t="shared" si="0"/>
        <v>3728.6211246416501</v>
      </c>
      <c r="C9" s="33"/>
      <c r="D9" s="37">
        <f>IF( ISERROR(IND_andere_gas_kWh/1000),0,IND_andere_gas_kWh/1000)*0.902</f>
        <v>3957.5553962934896</v>
      </c>
      <c r="E9" s="33">
        <f>C31*'E Balans VL '!I19/100/3.6*1000000</f>
        <v>62.62675949507296</v>
      </c>
      <c r="F9" s="33">
        <f>C31*'E Balans VL '!L19/100/3.6*1000000+C31*'E Balans VL '!N19/100/3.6*1000000</f>
        <v>2914.8236288424669</v>
      </c>
      <c r="G9" s="34"/>
      <c r="H9" s="33"/>
      <c r="I9" s="33"/>
      <c r="J9" s="40">
        <f>C31*'E Balans VL '!D19/100/3.6*1000000+C31*'E Balans VL '!E19/100/3.6*1000000</f>
        <v>0.33628871146881223</v>
      </c>
      <c r="K9" s="33"/>
      <c r="L9" s="33"/>
      <c r="M9" s="33"/>
      <c r="N9" s="33">
        <f>C31*'E Balans VL '!Y19/100/3.6*1000000</f>
        <v>276.35064579546133</v>
      </c>
      <c r="O9" s="33"/>
      <c r="P9" s="33"/>
      <c r="R9" s="32"/>
    </row>
    <row r="10" spans="1:18">
      <c r="A10" s="6" t="s">
        <v>41</v>
      </c>
      <c r="B10" s="37">
        <f t="shared" si="0"/>
        <v>1610.7171517554998</v>
      </c>
      <c r="C10" s="33"/>
      <c r="D10" s="37">
        <f>IF( ISERROR(IND_voed_gas_kWh/1000),0,IND_voed_gas_kWh/1000)*0.902</f>
        <v>1873.8382797147528</v>
      </c>
      <c r="E10" s="33">
        <f>C32*'E Balans VL '!I20/100/3.6*1000000</f>
        <v>14.695513959136949</v>
      </c>
      <c r="F10" s="33">
        <f>C32*'E Balans VL '!L20/100/3.6*1000000+C32*'E Balans VL '!N20/100/3.6*1000000</f>
        <v>259.85905686231217</v>
      </c>
      <c r="G10" s="34"/>
      <c r="H10" s="33"/>
      <c r="I10" s="33"/>
      <c r="J10" s="40">
        <f>C32*'E Balans VL '!D20/100/3.6*1000000+C32*'E Balans VL '!E20/100/3.6*1000000</f>
        <v>6.6339892682114083</v>
      </c>
      <c r="K10" s="33"/>
      <c r="L10" s="33"/>
      <c r="M10" s="33"/>
      <c r="N10" s="33">
        <f>C32*'E Balans VL '!Y20/100/3.6*1000000</f>
        <v>23.563521844062482</v>
      </c>
      <c r="O10" s="33"/>
      <c r="P10" s="33"/>
      <c r="R10" s="32"/>
    </row>
    <row r="11" spans="1:18">
      <c r="A11" s="6" t="s">
        <v>40</v>
      </c>
      <c r="B11" s="37">
        <f t="shared" si="0"/>
        <v>161.15233526313</v>
      </c>
      <c r="C11" s="33"/>
      <c r="D11" s="37">
        <f>IF( ISERROR(IND_textiel_gas_kWh/1000),0,IND_textiel_gas_kWh/1000)*0.902</f>
        <v>0</v>
      </c>
      <c r="E11" s="33">
        <f>C33*'E Balans VL '!I21/100/3.6*1000000</f>
        <v>0.36755858425506815</v>
      </c>
      <c r="F11" s="33">
        <f>C33*'E Balans VL '!L21/100/3.6*1000000+C33*'E Balans VL '!N21/100/3.6*1000000</f>
        <v>3.4447806343669858</v>
      </c>
      <c r="G11" s="34"/>
      <c r="H11" s="33"/>
      <c r="I11" s="33"/>
      <c r="J11" s="40">
        <f>C33*'E Balans VL '!D21/100/3.6*1000000+C33*'E Balans VL '!E21/100/3.6*1000000</f>
        <v>0</v>
      </c>
      <c r="K11" s="33"/>
      <c r="L11" s="33"/>
      <c r="M11" s="33"/>
      <c r="N11" s="33">
        <f>C33*'E Balans VL '!Y21/100/3.6*1000000</f>
        <v>1.143192925368284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2066.8401495841899</v>
      </c>
      <c r="C13" s="33"/>
      <c r="D13" s="37">
        <f>IF( ISERROR(IND_papier_gas_kWh/1000),0,IND_papier_gas_kWh/1000)*0.902</f>
        <v>209.78018820988112</v>
      </c>
      <c r="E13" s="33">
        <f>C35*'E Balans VL '!I23/100/3.6*1000000</f>
        <v>63.591277430315813</v>
      </c>
      <c r="F13" s="33">
        <f>C35*'E Balans VL '!L23/100/3.6*1000000+C35*'E Balans VL '!N23/100/3.6*1000000</f>
        <v>438.86239555232459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5955.7979711984899</v>
      </c>
      <c r="C15" s="33"/>
      <c r="D15" s="37">
        <f>IF( ISERROR(IND_rest_gas_kWh/1000),0,IND_rest_gas_kWh/1000)*0.902</f>
        <v>5126.0170618153188</v>
      </c>
      <c r="E15" s="33">
        <f>C37*'E Balans VL '!I15/100/3.6*1000000</f>
        <v>53.74966815672957</v>
      </c>
      <c r="F15" s="33">
        <f>C37*'E Balans VL '!L15/100/3.6*1000000+C37*'E Balans VL '!N15/100/3.6*1000000</f>
        <v>1190.6118386088958</v>
      </c>
      <c r="G15" s="34"/>
      <c r="H15" s="33"/>
      <c r="I15" s="33"/>
      <c r="J15" s="40">
        <f>C37*'E Balans VL '!D15/100/3.6*1000000+C37*'E Balans VL '!E15/100/3.6*1000000</f>
        <v>40.102485508490119</v>
      </c>
      <c r="K15" s="33"/>
      <c r="L15" s="33"/>
      <c r="M15" s="33"/>
      <c r="N15" s="33">
        <f>C37*'E Balans VL '!Y15/100/3.6*1000000</f>
        <v>107.17968817059634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13720.967749474376</v>
      </c>
      <c r="C18" s="21">
        <f>C5+C16</f>
        <v>0</v>
      </c>
      <c r="D18" s="21">
        <f>MAX((D5+D16),0)</f>
        <v>11314.095548567215</v>
      </c>
      <c r="E18" s="21">
        <f>MAX((E5+E16),0)</f>
        <v>196.42094874699103</v>
      </c>
      <c r="F18" s="21">
        <f>MAX((F5+F16),0)</f>
        <v>4829.3232670982379</v>
      </c>
      <c r="G18" s="21"/>
      <c r="H18" s="21"/>
      <c r="I18" s="21"/>
      <c r="J18" s="21">
        <f>MAX((J5+J16),0)</f>
        <v>51.154608830118001</v>
      </c>
      <c r="K18" s="21"/>
      <c r="L18" s="21">
        <f>MAX((L5+L16),0)</f>
        <v>0</v>
      </c>
      <c r="M18" s="21"/>
      <c r="N18" s="21">
        <f>MAX((N5+N16),0)</f>
        <v>408.97856361967297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0.21969415150924052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3014.4163676064263</v>
      </c>
      <c r="C22" s="23">
        <f ca="1">C18*C20</f>
        <v>0</v>
      </c>
      <c r="D22" s="23">
        <f>D18*D20</f>
        <v>2285.4473008105774</v>
      </c>
      <c r="E22" s="23">
        <f>E18*E20</f>
        <v>44.587555365566963</v>
      </c>
      <c r="F22" s="23">
        <f>F18*F20</f>
        <v>1289.4293123152297</v>
      </c>
      <c r="G22" s="23"/>
      <c r="H22" s="23"/>
      <c r="I22" s="23"/>
      <c r="J22" s="23">
        <f>J18*J20</f>
        <v>18.108731525861771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197.83901703141498</v>
      </c>
      <c r="C30" s="39">
        <f>IF(ISERROR(B30*3.6/1000000/'E Balans VL '!Z18*100),0,B30*3.6/1000000/'E Balans VL '!Z18*100)</f>
        <v>1.3170264174408813E-2</v>
      </c>
      <c r="D30" s="238" t="s">
        <v>720</v>
      </c>
    </row>
    <row r="31" spans="1:18">
      <c r="A31" s="6" t="s">
        <v>33</v>
      </c>
      <c r="B31" s="37">
        <f>IF( ISERROR(IND_ander_ele_kWh/1000),0,IND_ander_ele_kWh/1000)</f>
        <v>3728.6211246416501</v>
      </c>
      <c r="C31" s="39">
        <f>IF(ISERROR(B31*3.6/1000000/'E Balans VL '!Z19*100),0,B31*3.6/1000000/'E Balans VL '!Z19*100)</f>
        <v>0.16527499812801694</v>
      </c>
      <c r="D31" s="238" t="s">
        <v>720</v>
      </c>
    </row>
    <row r="32" spans="1:18">
      <c r="A32" s="172" t="s">
        <v>41</v>
      </c>
      <c r="B32" s="37">
        <f>IF( ISERROR(IND_voed_ele_kWh/1000),0,IND_voed_ele_kWh/1000)</f>
        <v>1610.7171517554998</v>
      </c>
      <c r="C32" s="39">
        <f>IF(ISERROR(B32*3.6/1000000/'E Balans VL '!Z20*100),0,B32*3.6/1000000/'E Balans VL '!Z20*100)</f>
        <v>5.3802573418126109E-2</v>
      </c>
      <c r="D32" s="238" t="s">
        <v>720</v>
      </c>
    </row>
    <row r="33" spans="1:5">
      <c r="A33" s="172" t="s">
        <v>40</v>
      </c>
      <c r="B33" s="37">
        <f>IF( ISERROR(IND_textiel_ele_kWh/1000),0,IND_textiel_ele_kWh/1000)</f>
        <v>161.15233526313</v>
      </c>
      <c r="C33" s="39">
        <f>IF(ISERROR(B33*3.6/1000000/'E Balans VL '!Z21*100),0,B33*3.6/1000000/'E Balans VL '!Z21*100)</f>
        <v>2.1216076561118791E-2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2066.8401495841899</v>
      </c>
      <c r="C35" s="39">
        <f>IF(ISERROR(B35*3.6/1000000/'E Balans VL '!Z22*100),0,B35*3.6/1000000/'E Balans VL '!Z22*100)</f>
        <v>0.40197770614559547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5955.7979711984899</v>
      </c>
      <c r="C37" s="39">
        <f>IF(ISERROR(B37*3.6/1000000/'E Balans VL '!Z15*100),0,B37*3.6/1000000/'E Balans VL '!Z15*100)</f>
        <v>4.4301434080849376E-2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1504.943795103926</v>
      </c>
      <c r="C5" s="17">
        <f>'Eigen informatie GS &amp; warmtenet'!B60</f>
        <v>0</v>
      </c>
      <c r="D5" s="30">
        <f>IF(ISERROR(SUM(LB_lb_gas_kWh,LB_rest_gas_kWh,onbekend_gas_kWh)/1000),0,SUM(LB_lb_gas_kWh,LB_rest_gas_kWh,onbekend_gas_kWh)/1000)*0.902</f>
        <v>71361.522379342583</v>
      </c>
      <c r="E5" s="17">
        <f>B17*'E Balans VL '!I25/3.6*1000000/100</f>
        <v>15.760097229373619</v>
      </c>
      <c r="F5" s="17">
        <f>B17*('E Balans VL '!L25/3.6*1000000+'E Balans VL '!N25/3.6*1000000)/100</f>
        <v>7729.6309552271723</v>
      </c>
      <c r="G5" s="18"/>
      <c r="H5" s="17"/>
      <c r="I5" s="17"/>
      <c r="J5" s="17">
        <f>('E Balans VL '!D25+'E Balans VL '!E25)/3.6*1000000*landbouw!B17/100</f>
        <v>134.40496994413456</v>
      </c>
      <c r="K5" s="17"/>
      <c r="L5" s="17">
        <f>L6*(-1)</f>
        <v>0</v>
      </c>
      <c r="M5" s="17"/>
      <c r="N5" s="17">
        <f>N6*(-1)</f>
        <v>0</v>
      </c>
      <c r="O5" s="17"/>
      <c r="P5" s="17"/>
      <c r="R5" s="32"/>
    </row>
    <row r="6" spans="1:18">
      <c r="A6" s="16" t="s">
        <v>497</v>
      </c>
      <c r="B6" s="17" t="s">
        <v>212</v>
      </c>
      <c r="C6" s="17">
        <f>'lokale energieproductie'!O91+'lokale energieproductie'!O60</f>
        <v>54527.142857142855</v>
      </c>
      <c r="D6" s="311">
        <f>('lokale energieproductie'!P60+'lokale energieproductie'!P91)*(-1)</f>
        <v>-109054.28571428574</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1504.943795103926</v>
      </c>
      <c r="C8" s="21">
        <f>C5+C6</f>
        <v>54527.142857142855</v>
      </c>
      <c r="D8" s="21">
        <f>MAX((D5+D6),0)</f>
        <v>0</v>
      </c>
      <c r="E8" s="21">
        <f>MAX((E5+E6),0)</f>
        <v>15.760097229373619</v>
      </c>
      <c r="F8" s="21">
        <f>MAX((F5+F6),0)</f>
        <v>7729.6309552271723</v>
      </c>
      <c r="G8" s="21"/>
      <c r="H8" s="21"/>
      <c r="I8" s="21"/>
      <c r="J8" s="21">
        <f>MAX((J5+J6),0)</f>
        <v>134.40496994413456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0.21969415150924052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330.62735013445337</v>
      </c>
      <c r="C12" s="23">
        <f ca="1">C8*C10</f>
        <v>12958.215126050423</v>
      </c>
      <c r="D12" s="23">
        <f>D8*D10</f>
        <v>0</v>
      </c>
      <c r="E12" s="23">
        <f>E8*E10</f>
        <v>3.5775420710678114</v>
      </c>
      <c r="F12" s="23">
        <f>F8*F10</f>
        <v>2063.811465045655</v>
      </c>
      <c r="G12" s="23"/>
      <c r="H12" s="23"/>
      <c r="I12" s="23"/>
      <c r="J12" s="23">
        <f>J8*J10</f>
        <v>47.579359360223634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0.23163990085027916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179.37685283896138</v>
      </c>
      <c r="C26" s="248">
        <f>B26*'GWP N2O_CH4'!B5</f>
        <v>3766.9139096181889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35.984589388414506</v>
      </c>
      <c r="C27" s="248">
        <f>B27*'GWP N2O_CH4'!B5</f>
        <v>755.67637715670458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2.3118291732251772</v>
      </c>
      <c r="C28" s="248">
        <f>B28*'GWP N2O_CH4'!B4</f>
        <v>716.66704369980494</v>
      </c>
      <c r="D28" s="50"/>
    </row>
    <row r="29" spans="1:4">
      <c r="A29" s="41" t="s">
        <v>278</v>
      </c>
      <c r="B29" s="248">
        <f>B34*'ha_N2O bodem landbouw'!B4</f>
        <v>8.0343766926672888</v>
      </c>
      <c r="C29" s="248">
        <f>B29*'GWP N2O_CH4'!B4</f>
        <v>2490.6567747268596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1.3277862695302044E-3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1.0404116548472618E-5</v>
      </c>
      <c r="C5" s="446" t="s">
        <v>212</v>
      </c>
      <c r="D5" s="431">
        <f>SUM(D6:D11)</f>
        <v>4.8902953413170096E-5</v>
      </c>
      <c r="E5" s="431">
        <f>SUM(E6:E11)</f>
        <v>5.6803143739762706E-3</v>
      </c>
      <c r="F5" s="444" t="s">
        <v>212</v>
      </c>
      <c r="G5" s="431">
        <f>SUM(G6:G11)</f>
        <v>1.1062659381355926</v>
      </c>
      <c r="H5" s="431">
        <f>SUM(H6:H11)</f>
        <v>0.16848809666624195</v>
      </c>
      <c r="I5" s="446" t="s">
        <v>212</v>
      </c>
      <c r="J5" s="446" t="s">
        <v>212</v>
      </c>
      <c r="K5" s="446" t="s">
        <v>212</v>
      </c>
      <c r="L5" s="446" t="s">
        <v>212</v>
      </c>
      <c r="M5" s="431">
        <f>SUM(M6:M11)</f>
        <v>5.5566216649419957E-2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3.8616882997916377E-6</v>
      </c>
      <c r="C6" s="432"/>
      <c r="D6" s="432">
        <f>vkm_2011_GW_PW*SUMIFS(TableVerdeelsleutelVkm[CNG],TableVerdeelsleutelVkm[Voertuigtype],"Lichte voertuigen")*SUMIFS(TableECFTransport[EnergieConsumptieFactor (PJ per km)],TableECFTransport[Index],CONCATENATE($A6,"_CNG_CNG"))</f>
        <v>1.6647289378249395E-5</v>
      </c>
      <c r="E6" s="434">
        <f>vkm_2011_GW_PW*SUMIFS(TableVerdeelsleutelVkm[LPG],TableVerdeelsleutelVkm[Voertuigtype],"Lichte voertuigen")*SUMIFS(TableECFTransport[EnergieConsumptieFactor (PJ per km)],TableECFTransport[Index],CONCATENATE($A6,"_LPG_LPG"))</f>
        <v>1.732048314183069E-3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0.21304669760018488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5.609078050713804E-2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1.1794894585179818E-2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0.20865181553499049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7.1543816123688164E-5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9.0133674854034375E-3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9.2874387600531706E-7</v>
      </c>
      <c r="C8" s="432"/>
      <c r="D8" s="434">
        <f>vkm_2011_NGW_PW*SUMIFS(TableVerdeelsleutelVkm[CNG],TableVerdeelsleutelVkm[Voertuigtype],"Lichte voertuigen")*SUMIFS(TableECFTransport[EnergieConsumptieFactor (PJ per km)],TableECFTransport[Index],CONCATENATE($A8,"_CNG_CNG"))</f>
        <v>7.1827476832323819E-6</v>
      </c>
      <c r="E8" s="434">
        <f>vkm_2011_NGW_PW*SUMIFS(TableVerdeelsleutelVkm[LPG],TableVerdeelsleutelVkm[Voertuigtype],"Lichte voertuigen")*SUMIFS(TableECFTransport[EnergieConsumptieFactor (PJ per km)],TableECFTransport[Index],CONCATENATE($A8,"_LPG_LPG"))</f>
        <v>6.8235934078108153E-4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7.9607659367781178E-2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2.310178456905906E-2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4.5064495801635154E-3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4.5440555849963087E-2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1.3535547815275332E-5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1.9628522413648454E-3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5.6136843726756636E-6</v>
      </c>
      <c r="C10" s="432"/>
      <c r="D10" s="434">
        <f>vkm_2011_SW_PW*SUMIFS(TableVerdeelsleutelVkm[CNG],TableVerdeelsleutelVkm[Voertuigtype],"Lichte voertuigen")*SUMIFS(TableECFTransport[EnergieConsumptieFactor (PJ per km)],TableECFTransport[Index],CONCATENATE($A10,"_CNG_CNG"))</f>
        <v>2.5072916351688319E-5</v>
      </c>
      <c r="E10" s="434">
        <f>vkm_2011_SW_PW*SUMIFS(TableVerdeelsleutelVkm[LPG],TableVerdeelsleutelVkm[Voertuigtype],"Lichte voertuigen")*SUMIFS(TableECFTransport[EnergieConsumptieFactor (PJ per km)],TableECFTransport[Index],CONCATENATE($A10,"_LPG_LPG"))</f>
        <v>3.2659067190121201E-3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0.3693133054899817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8.9140866235501326E-2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2.0071912034403016E-2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0.19020590429269135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6.9585990604546476E-5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8.216740722905326E-3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2.8900323745757275</v>
      </c>
      <c r="C14" s="21"/>
      <c r="D14" s="21">
        <f t="shared" ref="D14:M14" si="0">((D5)*10^9/3600)+D12</f>
        <v>13.584153725880581</v>
      </c>
      <c r="E14" s="21">
        <f t="shared" si="0"/>
        <v>1577.8651038822975</v>
      </c>
      <c r="F14" s="21"/>
      <c r="G14" s="21">
        <f t="shared" si="0"/>
        <v>307296.09392655356</v>
      </c>
      <c r="H14" s="21">
        <f t="shared" si="0"/>
        <v>46802.249073956096</v>
      </c>
      <c r="I14" s="21"/>
      <c r="J14" s="21"/>
      <c r="K14" s="21"/>
      <c r="L14" s="21"/>
      <c r="M14" s="21">
        <f t="shared" si="0"/>
        <v>15435.060180394432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0.21969415150924052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0.63492321036665</v>
      </c>
      <c r="C18" s="23"/>
      <c r="D18" s="23">
        <f t="shared" ref="D18:M18" si="1">D14*D16</f>
        <v>2.7439990526278777</v>
      </c>
      <c r="E18" s="23">
        <f t="shared" si="1"/>
        <v>358.17537858128156</v>
      </c>
      <c r="F18" s="23"/>
      <c r="G18" s="23">
        <f t="shared" si="1"/>
        <v>82048.0570783898</v>
      </c>
      <c r="H18" s="23">
        <f t="shared" si="1"/>
        <v>11653.760019415067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7.802218630470082E-3</v>
      </c>
      <c r="H50" s="322">
        <f t="shared" si="2"/>
        <v>0</v>
      </c>
      <c r="I50" s="322">
        <f t="shared" si="2"/>
        <v>0</v>
      </c>
      <c r="J50" s="322">
        <f t="shared" si="2"/>
        <v>0</v>
      </c>
      <c r="K50" s="322">
        <f t="shared" si="2"/>
        <v>0</v>
      </c>
      <c r="L50" s="322">
        <f t="shared" si="2"/>
        <v>0</v>
      </c>
      <c r="M50" s="322">
        <f t="shared" si="2"/>
        <v>3.3257468366093047E-4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7.802218630470082E-3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3.3257468366093047E-4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2167.282952908356</v>
      </c>
      <c r="H54" s="21">
        <f t="shared" si="3"/>
        <v>0</v>
      </c>
      <c r="I54" s="21">
        <f t="shared" si="3"/>
        <v>0</v>
      </c>
      <c r="J54" s="21">
        <f t="shared" si="3"/>
        <v>0</v>
      </c>
      <c r="K54" s="21">
        <f t="shared" si="3"/>
        <v>0</v>
      </c>
      <c r="L54" s="21">
        <f t="shared" si="3"/>
        <v>0</v>
      </c>
      <c r="M54" s="21">
        <f t="shared" si="3"/>
        <v>92.381856572480686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0.21969415150924052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578.66454842653104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4203.7635128924248</v>
      </c>
      <c r="C6" s="1181"/>
      <c r="D6" s="1184"/>
      <c r="E6" s="1184"/>
      <c r="F6" s="1187"/>
      <c r="G6" s="1190"/>
      <c r="H6" s="1178"/>
      <c r="I6" s="1184"/>
      <c r="J6" s="1184"/>
      <c r="K6" s="1184"/>
      <c r="L6" s="1214"/>
      <c r="M6" s="559"/>
      <c r="N6" s="1226"/>
      <c r="O6" s="1227"/>
      <c r="Q6" s="557"/>
      <c r="R6" s="1211"/>
      <c r="S6" s="1211"/>
    </row>
    <row r="7" spans="1:19" s="547" customFormat="1">
      <c r="A7" s="560" t="s">
        <v>253</v>
      </c>
      <c r="B7" s="561">
        <f>N57</f>
        <v>47295</v>
      </c>
      <c r="C7" s="562">
        <f>B100</f>
        <v>55641.176470588238</v>
      </c>
      <c r="D7" s="563"/>
      <c r="E7" s="563">
        <f>E100</f>
        <v>0</v>
      </c>
      <c r="F7" s="564"/>
      <c r="G7" s="565"/>
      <c r="H7" s="563">
        <f>I100</f>
        <v>0</v>
      </c>
      <c r="I7" s="563">
        <f>G100+F100</f>
        <v>0</v>
      </c>
      <c r="J7" s="563">
        <f>H100+D100+C100</f>
        <v>0</v>
      </c>
      <c r="K7" s="563"/>
      <c r="L7" s="566"/>
      <c r="M7" s="567">
        <f>C7*$C$11+D7*$D$11+E7*$E$11+F7*$F$11+G7*$G$11+H7*$H$11+I7*$I$11+J7*$J$11</f>
        <v>11239.517647058825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51498.763512892423</v>
      </c>
      <c r="C9" s="578">
        <f t="shared" ref="C9:L9" si="0">SUM(C7:C8)</f>
        <v>55641.176470588238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11239.517647058825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67564.285714285725</v>
      </c>
      <c r="C16" s="594">
        <f>B101</f>
        <v>79487.394957983211</v>
      </c>
      <c r="D16" s="595"/>
      <c r="E16" s="595">
        <f>E101</f>
        <v>0</v>
      </c>
      <c r="F16" s="596"/>
      <c r="G16" s="597"/>
      <c r="H16" s="594">
        <f>I101</f>
        <v>0</v>
      </c>
      <c r="I16" s="595">
        <f>G101+F101</f>
        <v>0</v>
      </c>
      <c r="J16" s="595">
        <f>H101+D101+C101</f>
        <v>0</v>
      </c>
      <c r="K16" s="595"/>
      <c r="L16" s="598"/>
      <c r="M16" s="599">
        <f>C16*$C$21+E16*$E$21+H16*$H$21+I16*$I$21+J16*$J$21+D16*$D$21+F16*$F$21+G16*$G$21+K16*$K$21+L16*$L$21</f>
        <v>16056.45378151261</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67564.285714285725</v>
      </c>
      <c r="C19" s="577">
        <f>SUM(C16:C18)</f>
        <v>79487.394957983211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16056.45378151261</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11024</v>
      </c>
      <c r="C27" s="839">
        <v>2550</v>
      </c>
      <c r="D27" s="656" t="s">
        <v>931</v>
      </c>
      <c r="E27" s="655" t="s">
        <v>932</v>
      </c>
      <c r="F27" s="655" t="s">
        <v>933</v>
      </c>
      <c r="G27" s="655" t="s">
        <v>934</v>
      </c>
      <c r="H27" s="655" t="s">
        <v>935</v>
      </c>
      <c r="I27" s="655" t="s">
        <v>932</v>
      </c>
      <c r="J27" s="838">
        <v>39471</v>
      </c>
      <c r="K27" s="838">
        <v>39524</v>
      </c>
      <c r="L27" s="655" t="s">
        <v>936</v>
      </c>
      <c r="M27" s="655">
        <v>1746</v>
      </c>
      <c r="N27" s="655">
        <v>7857</v>
      </c>
      <c r="O27" s="655">
        <v>11224.285714285714</v>
      </c>
      <c r="P27" s="655">
        <v>22448.571428571431</v>
      </c>
      <c r="Q27" s="655">
        <v>0</v>
      </c>
      <c r="R27" s="655">
        <v>0</v>
      </c>
      <c r="S27" s="655">
        <v>0</v>
      </c>
      <c r="T27" s="655">
        <v>0</v>
      </c>
      <c r="U27" s="655">
        <v>0</v>
      </c>
      <c r="V27" s="655">
        <v>0</v>
      </c>
      <c r="W27" s="655">
        <v>0</v>
      </c>
      <c r="X27" s="655">
        <v>10</v>
      </c>
      <c r="Y27" s="655" t="s">
        <v>112</v>
      </c>
      <c r="Z27" s="657" t="s">
        <v>112</v>
      </c>
    </row>
    <row r="28" spans="1:26" s="609" customFormat="1" ht="63.75">
      <c r="A28" s="608"/>
      <c r="B28" s="839">
        <v>11024</v>
      </c>
      <c r="C28" s="839">
        <v>2550</v>
      </c>
      <c r="D28" s="656" t="s">
        <v>937</v>
      </c>
      <c r="E28" s="655" t="s">
        <v>938</v>
      </c>
      <c r="F28" s="655" t="s">
        <v>939</v>
      </c>
      <c r="G28" s="655" t="s">
        <v>934</v>
      </c>
      <c r="H28" s="655" t="s">
        <v>935</v>
      </c>
      <c r="I28" s="655" t="s">
        <v>940</v>
      </c>
      <c r="J28" s="838">
        <v>39544</v>
      </c>
      <c r="K28" s="838">
        <v>39583</v>
      </c>
      <c r="L28" s="655" t="s">
        <v>936</v>
      </c>
      <c r="M28" s="655">
        <v>2028</v>
      </c>
      <c r="N28" s="655">
        <v>9126</v>
      </c>
      <c r="O28" s="655">
        <v>13037.142857142857</v>
      </c>
      <c r="P28" s="655">
        <v>26074.285714285717</v>
      </c>
      <c r="Q28" s="655">
        <v>0</v>
      </c>
      <c r="R28" s="655">
        <v>0</v>
      </c>
      <c r="S28" s="655">
        <v>0</v>
      </c>
      <c r="T28" s="655">
        <v>0</v>
      </c>
      <c r="U28" s="655">
        <v>0</v>
      </c>
      <c r="V28" s="655">
        <v>0</v>
      </c>
      <c r="W28" s="655">
        <v>0</v>
      </c>
      <c r="X28" s="655">
        <v>1600</v>
      </c>
      <c r="Y28" s="655" t="s">
        <v>50</v>
      </c>
      <c r="Z28" s="657" t="s">
        <v>156</v>
      </c>
    </row>
    <row r="29" spans="1:26" s="609" customFormat="1" ht="25.5">
      <c r="A29" s="608"/>
      <c r="B29" s="839">
        <v>11024</v>
      </c>
      <c r="C29" s="839">
        <v>2550</v>
      </c>
      <c r="D29" s="656" t="s">
        <v>941</v>
      </c>
      <c r="E29" s="655" t="s">
        <v>942</v>
      </c>
      <c r="F29" s="655" t="s">
        <v>943</v>
      </c>
      <c r="G29" s="655" t="s">
        <v>934</v>
      </c>
      <c r="H29" s="655" t="s">
        <v>935</v>
      </c>
      <c r="I29" s="655" t="s">
        <v>942</v>
      </c>
      <c r="J29" s="838">
        <v>40849</v>
      </c>
      <c r="K29" s="838">
        <v>39645</v>
      </c>
      <c r="L29" s="655" t="s">
        <v>936</v>
      </c>
      <c r="M29" s="655">
        <v>2728</v>
      </c>
      <c r="N29" s="655">
        <v>12276.000000000002</v>
      </c>
      <c r="O29" s="655">
        <v>17537.142857142859</v>
      </c>
      <c r="P29" s="655">
        <v>35074.285714285725</v>
      </c>
      <c r="Q29" s="655">
        <v>0</v>
      </c>
      <c r="R29" s="655">
        <v>0</v>
      </c>
      <c r="S29" s="655">
        <v>0</v>
      </c>
      <c r="T29" s="655">
        <v>0</v>
      </c>
      <c r="U29" s="655">
        <v>0</v>
      </c>
      <c r="V29" s="655">
        <v>0</v>
      </c>
      <c r="W29" s="655">
        <v>0</v>
      </c>
      <c r="X29" s="655">
        <v>10</v>
      </c>
      <c r="Y29" s="655" t="s">
        <v>112</v>
      </c>
      <c r="Z29" s="657" t="s">
        <v>112</v>
      </c>
    </row>
    <row r="30" spans="1:26" s="609" customFormat="1" ht="25.5">
      <c r="A30" s="608"/>
      <c r="B30" s="839">
        <v>11024</v>
      </c>
      <c r="C30" s="839">
        <v>2550</v>
      </c>
      <c r="D30" s="656" t="s">
        <v>944</v>
      </c>
      <c r="E30" s="655" t="s">
        <v>945</v>
      </c>
      <c r="F30" s="655" t="s">
        <v>946</v>
      </c>
      <c r="G30" s="655" t="s">
        <v>934</v>
      </c>
      <c r="H30" s="655" t="s">
        <v>935</v>
      </c>
      <c r="I30" s="655" t="s">
        <v>945</v>
      </c>
      <c r="J30" s="838">
        <v>39444</v>
      </c>
      <c r="K30" s="838">
        <v>39444</v>
      </c>
      <c r="L30" s="655" t="s">
        <v>936</v>
      </c>
      <c r="M30" s="655">
        <v>4008</v>
      </c>
      <c r="N30" s="655">
        <v>18036</v>
      </c>
      <c r="O30" s="655">
        <v>25765.714285714286</v>
      </c>
      <c r="P30" s="655">
        <v>51531.428571428572</v>
      </c>
      <c r="Q30" s="655">
        <v>0</v>
      </c>
      <c r="R30" s="655">
        <v>0</v>
      </c>
      <c r="S30" s="655">
        <v>0</v>
      </c>
      <c r="T30" s="655">
        <v>0</v>
      </c>
      <c r="U30" s="655">
        <v>0</v>
      </c>
      <c r="V30" s="655">
        <v>0</v>
      </c>
      <c r="W30" s="655">
        <v>0</v>
      </c>
      <c r="X30" s="655">
        <v>10</v>
      </c>
      <c r="Y30" s="655" t="s">
        <v>112</v>
      </c>
      <c r="Z30" s="657" t="s">
        <v>112</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10510</v>
      </c>
      <c r="N57" s="613">
        <f>SUM(N27:N56)</f>
        <v>47295</v>
      </c>
      <c r="O57" s="613">
        <f t="shared" ref="O57:W57" si="2">SUM(O27:O56)</f>
        <v>67564.285714285725</v>
      </c>
      <c r="P57" s="613">
        <f t="shared" si="2"/>
        <v>135128.57142857145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2028</v>
      </c>
      <c r="N59" s="613">
        <f ca="1">SUMIF($Z$27:AB56,"tertiair",N27:N56)</f>
        <v>9126</v>
      </c>
      <c r="O59" s="613">
        <f ca="1">SUMIF($Z$27:AC56,"tertiair",O27:O56)</f>
        <v>13037.142857142857</v>
      </c>
      <c r="P59" s="613">
        <f ca="1">SUMIF($Z$27:AD56,"tertiair",P27:P56)</f>
        <v>26074.285714285717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8482</v>
      </c>
      <c r="N60" s="618">
        <f t="shared" ref="N60:W60" si="4">SUMIF($Z$27:$Z$56,"landbouw",N27:N56)</f>
        <v>38169</v>
      </c>
      <c r="O60" s="618">
        <f t="shared" si="4"/>
        <v>54527.142857142855</v>
      </c>
      <c r="P60" s="618">
        <f t="shared" si="4"/>
        <v>109054.28571428574</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55641.176470588238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79487.394957983211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54232.253953471343</v>
      </c>
      <c r="D10" s="702">
        <f ca="1">tertiair!C16</f>
        <v>13037.142857142857</v>
      </c>
      <c r="E10" s="702">
        <f ca="1">tertiair!D16</f>
        <v>30909.715589476698</v>
      </c>
      <c r="F10" s="702">
        <f>tertiair!E16</f>
        <v>881.98365358372007</v>
      </c>
      <c r="G10" s="702">
        <f ca="1">tertiair!F16</f>
        <v>7720.4976750944143</v>
      </c>
      <c r="H10" s="702">
        <f>tertiair!G16</f>
        <v>0</v>
      </c>
      <c r="I10" s="702">
        <f>tertiair!H16</f>
        <v>0</v>
      </c>
      <c r="J10" s="702">
        <f>tertiair!I16</f>
        <v>0</v>
      </c>
      <c r="K10" s="702">
        <f>tertiair!J16</f>
        <v>0</v>
      </c>
      <c r="L10" s="702">
        <f>tertiair!K16</f>
        <v>0</v>
      </c>
      <c r="M10" s="702">
        <f ca="1">tertiair!L16</f>
        <v>0</v>
      </c>
      <c r="N10" s="702">
        <f>tertiair!M16</f>
        <v>0</v>
      </c>
      <c r="O10" s="702">
        <f ca="1">tertiair!N16</f>
        <v>739.2012474406863</v>
      </c>
      <c r="P10" s="702">
        <f>tertiair!O16</f>
        <v>0</v>
      </c>
      <c r="Q10" s="703">
        <f>tertiair!P16</f>
        <v>38.133333333333333</v>
      </c>
      <c r="R10" s="705">
        <f ca="1">SUM(C10:Q10)</f>
        <v>107558.92830954306</v>
      </c>
      <c r="S10" s="67"/>
    </row>
    <row r="11" spans="1:19" s="457" customFormat="1">
      <c r="A11" s="858" t="s">
        <v>226</v>
      </c>
      <c r="B11" s="863"/>
      <c r="C11" s="702">
        <f>huishoudens!B8</f>
        <v>39057.727692263237</v>
      </c>
      <c r="D11" s="702">
        <f>huishoudens!C8</f>
        <v>0</v>
      </c>
      <c r="E11" s="702">
        <f>huishoudens!D8</f>
        <v>102510.31194779839</v>
      </c>
      <c r="F11" s="702">
        <f>huishoudens!E8</f>
        <v>1193.0415264562071</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8629.695465433786</v>
      </c>
      <c r="P11" s="702">
        <f>huishoudens!O8</f>
        <v>103.17999999999999</v>
      </c>
      <c r="Q11" s="703">
        <f>huishoudens!P8</f>
        <v>152.53333333333333</v>
      </c>
      <c r="R11" s="705">
        <f>SUM(C11:Q11)</f>
        <v>151646.48996528494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13720.967749474376</v>
      </c>
      <c r="D13" s="702">
        <f>industrie!C18</f>
        <v>0</v>
      </c>
      <c r="E13" s="702">
        <f>industrie!D18</f>
        <v>11314.095548567215</v>
      </c>
      <c r="F13" s="702">
        <f>industrie!E18</f>
        <v>196.42094874699103</v>
      </c>
      <c r="G13" s="702">
        <f>industrie!F18</f>
        <v>4829.3232670982379</v>
      </c>
      <c r="H13" s="702">
        <f>industrie!G18</f>
        <v>0</v>
      </c>
      <c r="I13" s="702">
        <f>industrie!H18</f>
        <v>0</v>
      </c>
      <c r="J13" s="702">
        <f>industrie!I18</f>
        <v>0</v>
      </c>
      <c r="K13" s="702">
        <f>industrie!J18</f>
        <v>51.154608830118001</v>
      </c>
      <c r="L13" s="702">
        <f>industrie!K18</f>
        <v>0</v>
      </c>
      <c r="M13" s="702">
        <f>industrie!L18</f>
        <v>0</v>
      </c>
      <c r="N13" s="702">
        <f>industrie!M18</f>
        <v>0</v>
      </c>
      <c r="O13" s="702">
        <f>industrie!N18</f>
        <v>408.97856361967297</v>
      </c>
      <c r="P13" s="702">
        <f>industrie!O18</f>
        <v>0</v>
      </c>
      <c r="Q13" s="703">
        <f>industrie!P18</f>
        <v>0</v>
      </c>
      <c r="R13" s="705">
        <f>SUM(C13:Q13)</f>
        <v>30520.940686336613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107010.94939520895</v>
      </c>
      <c r="D15" s="707">
        <f t="shared" ref="D15:Q15" ca="1" si="0">SUM(D9:D14)</f>
        <v>13037.142857142857</v>
      </c>
      <c r="E15" s="707">
        <f t="shared" ca="1" si="0"/>
        <v>144734.12308584229</v>
      </c>
      <c r="F15" s="707">
        <f t="shared" si="0"/>
        <v>2271.4461287869185</v>
      </c>
      <c r="G15" s="707">
        <f t="shared" ca="1" si="0"/>
        <v>12549.820942192651</v>
      </c>
      <c r="H15" s="707">
        <f t="shared" si="0"/>
        <v>0</v>
      </c>
      <c r="I15" s="707">
        <f t="shared" si="0"/>
        <v>0</v>
      </c>
      <c r="J15" s="707">
        <f t="shared" si="0"/>
        <v>0</v>
      </c>
      <c r="K15" s="707">
        <f t="shared" si="0"/>
        <v>51.154608830118001</v>
      </c>
      <c r="L15" s="707">
        <f t="shared" si="0"/>
        <v>0</v>
      </c>
      <c r="M15" s="707">
        <f t="shared" ca="1" si="0"/>
        <v>0</v>
      </c>
      <c r="N15" s="707">
        <f t="shared" si="0"/>
        <v>0</v>
      </c>
      <c r="O15" s="707">
        <f t="shared" ca="1" si="0"/>
        <v>9777.8752764941455</v>
      </c>
      <c r="P15" s="707">
        <f t="shared" si="0"/>
        <v>103.17999999999999</v>
      </c>
      <c r="Q15" s="708">
        <f t="shared" si="0"/>
        <v>190.66666666666666</v>
      </c>
      <c r="R15" s="709">
        <f ca="1">SUM(R9:R14)</f>
        <v>289726.3589611646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2167.282952908356</v>
      </c>
      <c r="I18" s="702">
        <f>transport!H54</f>
        <v>0</v>
      </c>
      <c r="J18" s="702">
        <f>transport!I54</f>
        <v>0</v>
      </c>
      <c r="K18" s="702">
        <f>transport!J54</f>
        <v>0</v>
      </c>
      <c r="L18" s="702">
        <f>transport!K54</f>
        <v>0</v>
      </c>
      <c r="M18" s="702">
        <f>transport!L54</f>
        <v>0</v>
      </c>
      <c r="N18" s="702">
        <f>transport!M54</f>
        <v>92.381856572480686</v>
      </c>
      <c r="O18" s="702">
        <f>transport!N54</f>
        <v>0</v>
      </c>
      <c r="P18" s="702">
        <f>transport!O54</f>
        <v>0</v>
      </c>
      <c r="Q18" s="703">
        <f>transport!P54</f>
        <v>0</v>
      </c>
      <c r="R18" s="705">
        <f>SUM(C18:Q18)</f>
        <v>2259.6648094808365</v>
      </c>
      <c r="S18" s="67"/>
    </row>
    <row r="19" spans="1:19" s="457" customFormat="1" ht="15" thickBot="1">
      <c r="A19" s="858" t="s">
        <v>308</v>
      </c>
      <c r="B19" s="863"/>
      <c r="C19" s="711">
        <f>transport!B14</f>
        <v>2.8900323745757275</v>
      </c>
      <c r="D19" s="711">
        <f>transport!C14</f>
        <v>0</v>
      </c>
      <c r="E19" s="711">
        <f>transport!D14</f>
        <v>13.584153725880581</v>
      </c>
      <c r="F19" s="711">
        <f>transport!E14</f>
        <v>1577.8651038822975</v>
      </c>
      <c r="G19" s="711">
        <f>transport!F14</f>
        <v>0</v>
      </c>
      <c r="H19" s="711">
        <f>transport!G14</f>
        <v>307296.09392655356</v>
      </c>
      <c r="I19" s="711">
        <f>transport!H14</f>
        <v>46802.249073956096</v>
      </c>
      <c r="J19" s="711">
        <f>transport!I14</f>
        <v>0</v>
      </c>
      <c r="K19" s="711">
        <f>transport!J14</f>
        <v>0</v>
      </c>
      <c r="L19" s="711">
        <f>transport!K14</f>
        <v>0</v>
      </c>
      <c r="M19" s="711">
        <f>transport!L14</f>
        <v>0</v>
      </c>
      <c r="N19" s="711">
        <f>transport!M14</f>
        <v>15435.060180394432</v>
      </c>
      <c r="O19" s="711">
        <f>transport!N14</f>
        <v>0</v>
      </c>
      <c r="P19" s="711">
        <f>transport!O14</f>
        <v>0</v>
      </c>
      <c r="Q19" s="712">
        <f>transport!P14</f>
        <v>0</v>
      </c>
      <c r="R19" s="713">
        <f>SUM(C19:Q19)</f>
        <v>371127.74247088685</v>
      </c>
      <c r="S19" s="67"/>
    </row>
    <row r="20" spans="1:19" s="457" customFormat="1" ht="15.75" thickBot="1">
      <c r="A20" s="714" t="s">
        <v>231</v>
      </c>
      <c r="B20" s="866"/>
      <c r="C20" s="861">
        <f>SUM(C17:C19)</f>
        <v>2.8900323745757275</v>
      </c>
      <c r="D20" s="715">
        <f t="shared" ref="D20:R20" si="1">SUM(D17:D19)</f>
        <v>0</v>
      </c>
      <c r="E20" s="715">
        <f t="shared" si="1"/>
        <v>13.584153725880581</v>
      </c>
      <c r="F20" s="715">
        <f t="shared" si="1"/>
        <v>1577.8651038822975</v>
      </c>
      <c r="G20" s="715">
        <f t="shared" si="1"/>
        <v>0</v>
      </c>
      <c r="H20" s="715">
        <f t="shared" si="1"/>
        <v>309463.37687946192</v>
      </c>
      <c r="I20" s="715">
        <f t="shared" si="1"/>
        <v>46802.249073956096</v>
      </c>
      <c r="J20" s="715">
        <f t="shared" si="1"/>
        <v>0</v>
      </c>
      <c r="K20" s="715">
        <f t="shared" si="1"/>
        <v>0</v>
      </c>
      <c r="L20" s="715">
        <f t="shared" si="1"/>
        <v>0</v>
      </c>
      <c r="M20" s="715">
        <f t="shared" si="1"/>
        <v>0</v>
      </c>
      <c r="N20" s="715">
        <f t="shared" si="1"/>
        <v>15527.442036966913</v>
      </c>
      <c r="O20" s="715">
        <f t="shared" si="1"/>
        <v>0</v>
      </c>
      <c r="P20" s="715">
        <f t="shared" si="1"/>
        <v>0</v>
      </c>
      <c r="Q20" s="716">
        <f t="shared" si="1"/>
        <v>0</v>
      </c>
      <c r="R20" s="717">
        <f t="shared" si="1"/>
        <v>373387.40728036768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1504.943795103926</v>
      </c>
      <c r="D22" s="711">
        <f>+landbouw!C8</f>
        <v>54527.142857142855</v>
      </c>
      <c r="E22" s="711">
        <f>+landbouw!D8</f>
        <v>0</v>
      </c>
      <c r="F22" s="711">
        <f>+landbouw!E8</f>
        <v>15.760097229373619</v>
      </c>
      <c r="G22" s="711">
        <f>+landbouw!F8</f>
        <v>7729.6309552271723</v>
      </c>
      <c r="H22" s="711">
        <f>+landbouw!G8</f>
        <v>0</v>
      </c>
      <c r="I22" s="711">
        <f>+landbouw!H8</f>
        <v>0</v>
      </c>
      <c r="J22" s="711">
        <f>+landbouw!I8</f>
        <v>0</v>
      </c>
      <c r="K22" s="711">
        <f>+landbouw!J8</f>
        <v>134.40496994413456</v>
      </c>
      <c r="L22" s="711">
        <f>+landbouw!K8</f>
        <v>0</v>
      </c>
      <c r="M22" s="711">
        <f>+landbouw!L8</f>
        <v>0</v>
      </c>
      <c r="N22" s="711">
        <f>+landbouw!M8</f>
        <v>0</v>
      </c>
      <c r="O22" s="711">
        <f>+landbouw!N8</f>
        <v>0</v>
      </c>
      <c r="P22" s="711">
        <f>+landbouw!O8</f>
        <v>0</v>
      </c>
      <c r="Q22" s="712">
        <f>+landbouw!P8</f>
        <v>0</v>
      </c>
      <c r="R22" s="713">
        <f>SUM(C22:Q22)</f>
        <v>63911.882674647459</v>
      </c>
      <c r="S22" s="67"/>
    </row>
    <row r="23" spans="1:19" s="457" customFormat="1" ht="17.25" thickTop="1" thickBot="1">
      <c r="A23" s="718" t="s">
        <v>116</v>
      </c>
      <c r="B23" s="852"/>
      <c r="C23" s="719">
        <f ca="1">C20+C15+C22</f>
        <v>108518.78322268746</v>
      </c>
      <c r="D23" s="719">
        <f t="shared" ref="D23:Q23" ca="1" si="2">D20+D15+D22</f>
        <v>67564.28571428571</v>
      </c>
      <c r="E23" s="719">
        <f t="shared" ca="1" si="2"/>
        <v>144747.70723956818</v>
      </c>
      <c r="F23" s="719">
        <f t="shared" si="2"/>
        <v>3865.0713298985897</v>
      </c>
      <c r="G23" s="719">
        <f t="shared" ca="1" si="2"/>
        <v>20279.451897419822</v>
      </c>
      <c r="H23" s="719">
        <f t="shared" si="2"/>
        <v>309463.37687946192</v>
      </c>
      <c r="I23" s="719">
        <f t="shared" si="2"/>
        <v>46802.249073956096</v>
      </c>
      <c r="J23" s="719">
        <f t="shared" si="2"/>
        <v>0</v>
      </c>
      <c r="K23" s="719">
        <f t="shared" si="2"/>
        <v>185.55957877425257</v>
      </c>
      <c r="L23" s="719">
        <f t="shared" si="2"/>
        <v>0</v>
      </c>
      <c r="M23" s="719">
        <f t="shared" ca="1" si="2"/>
        <v>0</v>
      </c>
      <c r="N23" s="719">
        <f t="shared" si="2"/>
        <v>15527.442036966913</v>
      </c>
      <c r="O23" s="719">
        <f t="shared" ca="1" si="2"/>
        <v>9777.8752764941455</v>
      </c>
      <c r="P23" s="719">
        <f t="shared" si="2"/>
        <v>103.17999999999999</v>
      </c>
      <c r="Q23" s="720">
        <f t="shared" si="2"/>
        <v>190.66666666666666</v>
      </c>
      <c r="R23" s="721">
        <f ca="1">R20+R15+R22</f>
        <v>727025.64891617978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11914.50901674154</v>
      </c>
      <c r="D36" s="702">
        <f ca="1">tertiair!C20</f>
        <v>3098.2386554621858</v>
      </c>
      <c r="E36" s="702">
        <f ca="1">tertiair!D20</f>
        <v>6243.762549074293</v>
      </c>
      <c r="F36" s="702">
        <f>tertiair!E20</f>
        <v>200.21028936350447</v>
      </c>
      <c r="G36" s="702">
        <f ca="1">tertiair!F20</f>
        <v>2061.3728792502088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23518.093389891732</v>
      </c>
    </row>
    <row r="37" spans="1:18">
      <c r="A37" s="873" t="s">
        <v>226</v>
      </c>
      <c r="B37" s="880"/>
      <c r="C37" s="702">
        <f ca="1">huishoudens!B12</f>
        <v>8580.7543452307382</v>
      </c>
      <c r="D37" s="702">
        <f ca="1">huishoudens!C12</f>
        <v>0</v>
      </c>
      <c r="E37" s="702">
        <f>huishoudens!D12</f>
        <v>20707.083013455274</v>
      </c>
      <c r="F37" s="702">
        <f>huishoudens!E12</f>
        <v>270.820426505559</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29558.657785191568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3014.4163676064263</v>
      </c>
      <c r="D39" s="702">
        <f ca="1">industrie!C22</f>
        <v>0</v>
      </c>
      <c r="E39" s="702">
        <f>industrie!D22</f>
        <v>2285.4473008105774</v>
      </c>
      <c r="F39" s="702">
        <f>industrie!E22</f>
        <v>44.587555365566963</v>
      </c>
      <c r="G39" s="702">
        <f>industrie!F22</f>
        <v>1289.4293123152297</v>
      </c>
      <c r="H39" s="702">
        <f>industrie!G22</f>
        <v>0</v>
      </c>
      <c r="I39" s="702">
        <f>industrie!H22</f>
        <v>0</v>
      </c>
      <c r="J39" s="702">
        <f>industrie!I22</f>
        <v>0</v>
      </c>
      <c r="K39" s="702">
        <f>industrie!J22</f>
        <v>18.108731525861771</v>
      </c>
      <c r="L39" s="702">
        <f>industrie!K22</f>
        <v>0</v>
      </c>
      <c r="M39" s="702">
        <f>industrie!L22</f>
        <v>0</v>
      </c>
      <c r="N39" s="702">
        <f>industrie!M22</f>
        <v>0</v>
      </c>
      <c r="O39" s="702">
        <f>industrie!N22</f>
        <v>0</v>
      </c>
      <c r="P39" s="702">
        <f>industrie!O22</f>
        <v>0</v>
      </c>
      <c r="Q39" s="812">
        <f>industrie!P22</f>
        <v>0</v>
      </c>
      <c r="R39" s="906">
        <f ca="1">SUM(C39:Q39)</f>
        <v>6651.9892676236623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23509.679729578704</v>
      </c>
      <c r="D41" s="747">
        <f t="shared" ref="D41:R41" ca="1" si="4">SUM(D35:D40)</f>
        <v>3098.2386554621858</v>
      </c>
      <c r="E41" s="747">
        <f t="shared" ca="1" si="4"/>
        <v>29236.292863340146</v>
      </c>
      <c r="F41" s="747">
        <f t="shared" si="4"/>
        <v>515.61827123463036</v>
      </c>
      <c r="G41" s="747">
        <f t="shared" ca="1" si="4"/>
        <v>3350.8021915654385</v>
      </c>
      <c r="H41" s="747">
        <f t="shared" si="4"/>
        <v>0</v>
      </c>
      <c r="I41" s="747">
        <f t="shared" si="4"/>
        <v>0</v>
      </c>
      <c r="J41" s="747">
        <f t="shared" si="4"/>
        <v>0</v>
      </c>
      <c r="K41" s="747">
        <f t="shared" si="4"/>
        <v>18.108731525861771</v>
      </c>
      <c r="L41" s="747">
        <f t="shared" si="4"/>
        <v>0</v>
      </c>
      <c r="M41" s="747">
        <f t="shared" ca="1" si="4"/>
        <v>0</v>
      </c>
      <c r="N41" s="747">
        <f t="shared" si="4"/>
        <v>0</v>
      </c>
      <c r="O41" s="747">
        <f t="shared" ca="1" si="4"/>
        <v>0</v>
      </c>
      <c r="P41" s="747">
        <f t="shared" si="4"/>
        <v>0</v>
      </c>
      <c r="Q41" s="748">
        <f t="shared" si="4"/>
        <v>0</v>
      </c>
      <c r="R41" s="749">
        <f t="shared" ca="1" si="4"/>
        <v>59728.740442706963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578.66454842653104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578.66454842653104</v>
      </c>
    </row>
    <row r="45" spans="1:18" ht="15" thickBot="1">
      <c r="A45" s="876" t="s">
        <v>308</v>
      </c>
      <c r="B45" s="886"/>
      <c r="C45" s="711">
        <f ca="1">transport!B18</f>
        <v>0.63492321036665</v>
      </c>
      <c r="D45" s="711">
        <f>transport!C18</f>
        <v>0</v>
      </c>
      <c r="E45" s="711">
        <f>transport!D18</f>
        <v>2.7439990526278777</v>
      </c>
      <c r="F45" s="711">
        <f>transport!E18</f>
        <v>358.17537858128156</v>
      </c>
      <c r="G45" s="711">
        <f>transport!F18</f>
        <v>0</v>
      </c>
      <c r="H45" s="711">
        <f>transport!G18</f>
        <v>82048.0570783898</v>
      </c>
      <c r="I45" s="711">
        <f>transport!H18</f>
        <v>11653.760019415067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94063.371398649149</v>
      </c>
    </row>
    <row r="46" spans="1:18" ht="15.75" thickBot="1">
      <c r="A46" s="874" t="s">
        <v>231</v>
      </c>
      <c r="B46" s="887"/>
      <c r="C46" s="747">
        <f t="shared" ref="C46:R46" ca="1" si="5">SUM(C43:C45)</f>
        <v>0.63492321036665</v>
      </c>
      <c r="D46" s="747">
        <f t="shared" ca="1" si="5"/>
        <v>0</v>
      </c>
      <c r="E46" s="747">
        <f t="shared" si="5"/>
        <v>2.7439990526278777</v>
      </c>
      <c r="F46" s="747">
        <f t="shared" si="5"/>
        <v>358.17537858128156</v>
      </c>
      <c r="G46" s="747">
        <f t="shared" si="5"/>
        <v>0</v>
      </c>
      <c r="H46" s="747">
        <f t="shared" si="5"/>
        <v>82626.721626816332</v>
      </c>
      <c r="I46" s="747">
        <f t="shared" si="5"/>
        <v>11653.760019415067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94642.035947075681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330.62735013445337</v>
      </c>
      <c r="D48" s="702">
        <f ca="1">+landbouw!C12</f>
        <v>12958.215126050423</v>
      </c>
      <c r="E48" s="702">
        <f>+landbouw!D12</f>
        <v>0</v>
      </c>
      <c r="F48" s="702">
        <f>+landbouw!E12</f>
        <v>3.5775420710678114</v>
      </c>
      <c r="G48" s="702">
        <f>+landbouw!F12</f>
        <v>2063.811465045655</v>
      </c>
      <c r="H48" s="702">
        <f>+landbouw!G12</f>
        <v>0</v>
      </c>
      <c r="I48" s="702">
        <f>+landbouw!H12</f>
        <v>0</v>
      </c>
      <c r="J48" s="702">
        <f>+landbouw!I12</f>
        <v>0</v>
      </c>
      <c r="K48" s="702">
        <f>+landbouw!J12</f>
        <v>47.579359360223634</v>
      </c>
      <c r="L48" s="702">
        <f>+landbouw!K12</f>
        <v>0</v>
      </c>
      <c r="M48" s="702">
        <f>+landbouw!L12</f>
        <v>0</v>
      </c>
      <c r="N48" s="702">
        <f>+landbouw!M12</f>
        <v>0</v>
      </c>
      <c r="O48" s="702">
        <f>+landbouw!N12</f>
        <v>0</v>
      </c>
      <c r="P48" s="702">
        <f>+landbouw!O12</f>
        <v>0</v>
      </c>
      <c r="Q48" s="703">
        <f>+landbouw!P12</f>
        <v>0</v>
      </c>
      <c r="R48" s="745">
        <f ca="1">SUM(C48:Q48)</f>
        <v>15403.810842661822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23840.942002923526</v>
      </c>
      <c r="D53" s="757">
        <f t="shared" ref="D53:Q53" ca="1" si="6">D41+D46+D48</f>
        <v>16056.45378151261</v>
      </c>
      <c r="E53" s="757">
        <f t="shared" ca="1" si="6"/>
        <v>29239.036862392775</v>
      </c>
      <c r="F53" s="757">
        <f t="shared" si="6"/>
        <v>877.37119188697977</v>
      </c>
      <c r="G53" s="757">
        <f t="shared" ca="1" si="6"/>
        <v>5414.6136566110936</v>
      </c>
      <c r="H53" s="757">
        <f t="shared" si="6"/>
        <v>82626.721626816332</v>
      </c>
      <c r="I53" s="757">
        <f t="shared" si="6"/>
        <v>11653.760019415067</v>
      </c>
      <c r="J53" s="757">
        <f t="shared" si="6"/>
        <v>0</v>
      </c>
      <c r="K53" s="757">
        <f t="shared" si="6"/>
        <v>65.688090886085405</v>
      </c>
      <c r="L53" s="757">
        <f t="shared" si="6"/>
        <v>0</v>
      </c>
      <c r="M53" s="757">
        <f t="shared" ca="1" si="6"/>
        <v>0</v>
      </c>
      <c r="N53" s="757">
        <f t="shared" si="6"/>
        <v>0</v>
      </c>
      <c r="O53" s="757">
        <f t="shared" ca="1" si="6"/>
        <v>0</v>
      </c>
      <c r="P53" s="757">
        <f>P41+P46+P48</f>
        <v>0</v>
      </c>
      <c r="Q53" s="758">
        <f t="shared" si="6"/>
        <v>0</v>
      </c>
      <c r="R53" s="759">
        <f ca="1">R41+R46+R48</f>
        <v>169774.58723244446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0.21969415150924052</v>
      </c>
      <c r="D55" s="823">
        <f t="shared" ca="1" si="7"/>
        <v>0.23764705882352949</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4203.7635128924248</v>
      </c>
      <c r="C66" s="779">
        <f>'lokale energieproductie'!B6</f>
        <v>4203.7635128924248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47295</v>
      </c>
      <c r="C67" s="778">
        <f>B67*IFERROR(SUM(J67:L67)/SUM(D67:M67),0)</f>
        <v>0</v>
      </c>
      <c r="D67" s="810">
        <f>'lokale energieproductie'!C7</f>
        <v>55641.176470588238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11239.517647058825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51498.763512892423</v>
      </c>
      <c r="C69" s="787">
        <f>SUM(C64:C68)</f>
        <v>4203.7635128924248</v>
      </c>
      <c r="D69" s="788">
        <f t="shared" ref="D69:M69" si="8">SUM(D67:D68)</f>
        <v>55641.176470588238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11239.517647058825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67564.285714285725</v>
      </c>
      <c r="C78" s="801">
        <f>B78*IFERROR(SUM(I78:L78)/SUM(D78:M78),0)</f>
        <v>0</v>
      </c>
      <c r="D78" s="816">
        <f>'lokale energieproductie'!C16</f>
        <v>79487.394957983211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16056.45378151261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67564.285714285725</v>
      </c>
      <c r="C81" s="787">
        <f>SUM(C78:C80)</f>
        <v>0</v>
      </c>
      <c r="D81" s="787">
        <f t="shared" ref="D81:P81" si="9">SUM(D78:D80)</f>
        <v>79487.394957983211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16056.45378151261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39057.727692263237</v>
      </c>
      <c r="C4" s="461">
        <f>huishoudens!C8</f>
        <v>0</v>
      </c>
      <c r="D4" s="461">
        <f>huishoudens!D8</f>
        <v>102510.31194779839</v>
      </c>
      <c r="E4" s="461">
        <f>huishoudens!E8</f>
        <v>1193.0415264562071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8629.695465433786</v>
      </c>
      <c r="O4" s="461">
        <f>huishoudens!O8</f>
        <v>103.17999999999999</v>
      </c>
      <c r="P4" s="462">
        <f>huishoudens!P8</f>
        <v>152.53333333333333</v>
      </c>
      <c r="Q4" s="463">
        <f>SUM(B4:P4)</f>
        <v>151646.48996528494</v>
      </c>
    </row>
    <row r="5" spans="1:17">
      <c r="A5" s="460" t="s">
        <v>156</v>
      </c>
      <c r="B5" s="461">
        <f ca="1">tertiair!B16</f>
        <v>52908.635953471341</v>
      </c>
      <c r="C5" s="461">
        <f ca="1">tertiair!C16</f>
        <v>13037.142857142857</v>
      </c>
      <c r="D5" s="461">
        <f ca="1">tertiair!D16</f>
        <v>30909.715589476698</v>
      </c>
      <c r="E5" s="461">
        <f>tertiair!E16</f>
        <v>881.98365358372007</v>
      </c>
      <c r="F5" s="461">
        <f ca="1">tertiair!F16</f>
        <v>7720.4976750944143</v>
      </c>
      <c r="G5" s="461">
        <f>tertiair!G16</f>
        <v>0</v>
      </c>
      <c r="H5" s="461">
        <f>tertiair!H16</f>
        <v>0</v>
      </c>
      <c r="I5" s="461">
        <f>tertiair!I16</f>
        <v>0</v>
      </c>
      <c r="J5" s="461">
        <f>tertiair!J16</f>
        <v>0</v>
      </c>
      <c r="K5" s="461">
        <f>tertiair!K16</f>
        <v>0</v>
      </c>
      <c r="L5" s="461">
        <f ca="1">tertiair!L16</f>
        <v>0</v>
      </c>
      <c r="M5" s="461">
        <f>tertiair!M16</f>
        <v>0</v>
      </c>
      <c r="N5" s="461">
        <f ca="1">tertiair!N16</f>
        <v>739.2012474406863</v>
      </c>
      <c r="O5" s="461">
        <f>tertiair!O16</f>
        <v>0</v>
      </c>
      <c r="P5" s="462">
        <f>tertiair!P16</f>
        <v>38.133333333333333</v>
      </c>
      <c r="Q5" s="460">
        <f t="shared" ref="Q5:Q13" ca="1" si="0">SUM(B5:P5)</f>
        <v>106235.31030954304</v>
      </c>
    </row>
    <row r="6" spans="1:17">
      <c r="A6" s="460" t="s">
        <v>195</v>
      </c>
      <c r="B6" s="461">
        <f>'openbare verlichting'!B8</f>
        <v>1323.6179999999999</v>
      </c>
      <c r="C6" s="461"/>
      <c r="D6" s="461"/>
      <c r="E6" s="461"/>
      <c r="F6" s="461"/>
      <c r="G6" s="461"/>
      <c r="H6" s="461"/>
      <c r="I6" s="461"/>
      <c r="J6" s="461"/>
      <c r="K6" s="461"/>
      <c r="L6" s="461"/>
      <c r="M6" s="461"/>
      <c r="N6" s="461"/>
      <c r="O6" s="461"/>
      <c r="P6" s="462"/>
      <c r="Q6" s="460">
        <f t="shared" si="0"/>
        <v>1323.6179999999999</v>
      </c>
    </row>
    <row r="7" spans="1:17">
      <c r="A7" s="460" t="s">
        <v>112</v>
      </c>
      <c r="B7" s="461">
        <f>landbouw!B8</f>
        <v>1504.943795103926</v>
      </c>
      <c r="C7" s="461">
        <f>landbouw!C8</f>
        <v>54527.142857142855</v>
      </c>
      <c r="D7" s="461">
        <f>landbouw!D8</f>
        <v>0</v>
      </c>
      <c r="E7" s="461">
        <f>landbouw!E8</f>
        <v>15.760097229373619</v>
      </c>
      <c r="F7" s="461">
        <f>landbouw!F8</f>
        <v>7729.6309552271723</v>
      </c>
      <c r="G7" s="461">
        <f>landbouw!G8</f>
        <v>0</v>
      </c>
      <c r="H7" s="461">
        <f>landbouw!H8</f>
        <v>0</v>
      </c>
      <c r="I7" s="461">
        <f>landbouw!I8</f>
        <v>0</v>
      </c>
      <c r="J7" s="461">
        <f>landbouw!J8</f>
        <v>134.40496994413456</v>
      </c>
      <c r="K7" s="461">
        <f>landbouw!K8</f>
        <v>0</v>
      </c>
      <c r="L7" s="461">
        <f>landbouw!L8</f>
        <v>0</v>
      </c>
      <c r="M7" s="461">
        <f>landbouw!M8</f>
        <v>0</v>
      </c>
      <c r="N7" s="461">
        <f>landbouw!N8</f>
        <v>0</v>
      </c>
      <c r="O7" s="461">
        <f>landbouw!O8</f>
        <v>0</v>
      </c>
      <c r="P7" s="462">
        <f>landbouw!P8</f>
        <v>0</v>
      </c>
      <c r="Q7" s="460">
        <f t="shared" si="0"/>
        <v>63911.882674647459</v>
      </c>
    </row>
    <row r="8" spans="1:17">
      <c r="A8" s="460" t="s">
        <v>656</v>
      </c>
      <c r="B8" s="461">
        <f>industrie!B18</f>
        <v>13720.967749474376</v>
      </c>
      <c r="C8" s="461">
        <f>industrie!C18</f>
        <v>0</v>
      </c>
      <c r="D8" s="461">
        <f>industrie!D18</f>
        <v>11314.095548567215</v>
      </c>
      <c r="E8" s="461">
        <f>industrie!E18</f>
        <v>196.42094874699103</v>
      </c>
      <c r="F8" s="461">
        <f>industrie!F18</f>
        <v>4829.3232670982379</v>
      </c>
      <c r="G8" s="461">
        <f>industrie!G18</f>
        <v>0</v>
      </c>
      <c r="H8" s="461">
        <f>industrie!H18</f>
        <v>0</v>
      </c>
      <c r="I8" s="461">
        <f>industrie!I18</f>
        <v>0</v>
      </c>
      <c r="J8" s="461">
        <f>industrie!J18</f>
        <v>51.154608830118001</v>
      </c>
      <c r="K8" s="461">
        <f>industrie!K18</f>
        <v>0</v>
      </c>
      <c r="L8" s="461">
        <f>industrie!L18</f>
        <v>0</v>
      </c>
      <c r="M8" s="461">
        <f>industrie!M18</f>
        <v>0</v>
      </c>
      <c r="N8" s="461">
        <f>industrie!N18</f>
        <v>408.97856361967297</v>
      </c>
      <c r="O8" s="461">
        <f>industrie!O18</f>
        <v>0</v>
      </c>
      <c r="P8" s="462">
        <f>industrie!P18</f>
        <v>0</v>
      </c>
      <c r="Q8" s="460">
        <f t="shared" si="0"/>
        <v>30520.940686336613</v>
      </c>
    </row>
    <row r="9" spans="1:17" s="466" customFormat="1">
      <c r="A9" s="464" t="s">
        <v>574</v>
      </c>
      <c r="B9" s="465">
        <f>transport!B14</f>
        <v>2.8900323745757275</v>
      </c>
      <c r="C9" s="465"/>
      <c r="D9" s="465">
        <f>transport!D14</f>
        <v>13.584153725880581</v>
      </c>
      <c r="E9" s="465">
        <f>transport!E14</f>
        <v>1577.8651038822975</v>
      </c>
      <c r="F9" s="465"/>
      <c r="G9" s="465">
        <f>transport!G14</f>
        <v>307296.09392655356</v>
      </c>
      <c r="H9" s="465">
        <f>transport!H14</f>
        <v>46802.249073956096</v>
      </c>
      <c r="I9" s="465"/>
      <c r="J9" s="465"/>
      <c r="K9" s="465"/>
      <c r="L9" s="465"/>
      <c r="M9" s="465">
        <f>transport!M14</f>
        <v>15435.060180394432</v>
      </c>
      <c r="N9" s="465"/>
      <c r="O9" s="465"/>
      <c r="P9" s="465"/>
      <c r="Q9" s="464">
        <f>SUM(B9:P9)</f>
        <v>371127.74247088685</v>
      </c>
    </row>
    <row r="10" spans="1:17">
      <c r="A10" s="460" t="s">
        <v>564</v>
      </c>
      <c r="B10" s="461">
        <f>transport!B54</f>
        <v>0</v>
      </c>
      <c r="C10" s="461"/>
      <c r="D10" s="461">
        <f>transport!D54</f>
        <v>0</v>
      </c>
      <c r="E10" s="461"/>
      <c r="F10" s="461"/>
      <c r="G10" s="461">
        <f>transport!G54</f>
        <v>2167.282952908356</v>
      </c>
      <c r="H10" s="461"/>
      <c r="I10" s="461"/>
      <c r="J10" s="461"/>
      <c r="K10" s="461"/>
      <c r="L10" s="461"/>
      <c r="M10" s="461">
        <f>transport!M54</f>
        <v>92.381856572480686</v>
      </c>
      <c r="N10" s="461"/>
      <c r="O10" s="461"/>
      <c r="P10" s="462"/>
      <c r="Q10" s="460">
        <f t="shared" si="0"/>
        <v>2259.6648094808365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108518.78322268747</v>
      </c>
      <c r="C14" s="471">
        <f t="shared" ref="C14:Q14" ca="1" si="1">SUM(C4:C13)</f>
        <v>67564.28571428571</v>
      </c>
      <c r="D14" s="471">
        <f t="shared" ca="1" si="1"/>
        <v>144747.70723956818</v>
      </c>
      <c r="E14" s="471">
        <f t="shared" si="1"/>
        <v>3865.0713298985893</v>
      </c>
      <c r="F14" s="471">
        <f t="shared" ca="1" si="1"/>
        <v>20279.451897419822</v>
      </c>
      <c r="G14" s="471">
        <f t="shared" si="1"/>
        <v>309463.37687946192</v>
      </c>
      <c r="H14" s="471">
        <f t="shared" si="1"/>
        <v>46802.249073956096</v>
      </c>
      <c r="I14" s="471">
        <f t="shared" si="1"/>
        <v>0</v>
      </c>
      <c r="J14" s="471">
        <f t="shared" si="1"/>
        <v>185.55957877425257</v>
      </c>
      <c r="K14" s="471">
        <f t="shared" si="1"/>
        <v>0</v>
      </c>
      <c r="L14" s="471">
        <f t="shared" ca="1" si="1"/>
        <v>0</v>
      </c>
      <c r="M14" s="471">
        <f t="shared" si="1"/>
        <v>15527.442036966913</v>
      </c>
      <c r="N14" s="471">
        <f t="shared" ca="1" si="1"/>
        <v>9777.8752764941455</v>
      </c>
      <c r="O14" s="471">
        <f t="shared" si="1"/>
        <v>103.17999999999999</v>
      </c>
      <c r="P14" s="472">
        <f t="shared" si="1"/>
        <v>190.66666666666666</v>
      </c>
      <c r="Q14" s="472">
        <f t="shared" ca="1" si="1"/>
        <v>727025.64891617978</v>
      </c>
    </row>
    <row r="16" spans="1:17">
      <c r="A16" s="474" t="s">
        <v>569</v>
      </c>
      <c r="B16" s="828">
        <f ca="1">huishoudens!B10</f>
        <v>0.21969415150924052</v>
      </c>
      <c r="C16" s="828">
        <f ca="1">huishoudens!C10</f>
        <v>0.23764705882352949</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8580.7543452307382</v>
      </c>
      <c r="C21" s="461">
        <f t="shared" ref="C21:C28" ca="1" si="3">C4*$C$16</f>
        <v>0</v>
      </c>
      <c r="D21" s="461">
        <f t="shared" ref="D21:D30" si="4">D4*$D$16</f>
        <v>20707.083013455274</v>
      </c>
      <c r="E21" s="461">
        <f t="shared" ref="E21:E30" si="5">E4*$E$16</f>
        <v>270.820426505559</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29558.657785191568</v>
      </c>
    </row>
    <row r="22" spans="1:17">
      <c r="A22" s="460" t="s">
        <v>156</v>
      </c>
      <c r="B22" s="461">
        <f t="shared" ca="1" si="2"/>
        <v>11623.717883309182</v>
      </c>
      <c r="C22" s="461">
        <f t="shared" ca="1" si="3"/>
        <v>3098.2386554621858</v>
      </c>
      <c r="D22" s="461">
        <f t="shared" ca="1" si="4"/>
        <v>6243.762549074293</v>
      </c>
      <c r="E22" s="461">
        <f t="shared" si="5"/>
        <v>200.21028936350447</v>
      </c>
      <c r="F22" s="461">
        <f t="shared" ca="1" si="6"/>
        <v>2061.3728792502088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23227.302256459374</v>
      </c>
    </row>
    <row r="23" spans="1:17">
      <c r="A23" s="460" t="s">
        <v>195</v>
      </c>
      <c r="B23" s="461">
        <f t="shared" ca="1" si="2"/>
        <v>290.79113343235792</v>
      </c>
      <c r="C23" s="461"/>
      <c r="D23" s="461"/>
      <c r="E23" s="461"/>
      <c r="F23" s="461"/>
      <c r="G23" s="461"/>
      <c r="H23" s="461"/>
      <c r="I23" s="461"/>
      <c r="J23" s="461"/>
      <c r="K23" s="461"/>
      <c r="L23" s="461"/>
      <c r="M23" s="461"/>
      <c r="N23" s="461"/>
      <c r="O23" s="461"/>
      <c r="P23" s="462"/>
      <c r="Q23" s="460">
        <f t="shared" ca="1" si="17"/>
        <v>290.79113343235792</v>
      </c>
    </row>
    <row r="24" spans="1:17">
      <c r="A24" s="460" t="s">
        <v>112</v>
      </c>
      <c r="B24" s="461">
        <f t="shared" ca="1" si="2"/>
        <v>330.62735013445337</v>
      </c>
      <c r="C24" s="461">
        <f t="shared" ca="1" si="3"/>
        <v>12958.215126050423</v>
      </c>
      <c r="D24" s="461">
        <f t="shared" si="4"/>
        <v>0</v>
      </c>
      <c r="E24" s="461">
        <f t="shared" si="5"/>
        <v>3.5775420710678114</v>
      </c>
      <c r="F24" s="461">
        <f t="shared" si="6"/>
        <v>2063.811465045655</v>
      </c>
      <c r="G24" s="461">
        <f t="shared" si="7"/>
        <v>0</v>
      </c>
      <c r="H24" s="461">
        <f t="shared" si="8"/>
        <v>0</v>
      </c>
      <c r="I24" s="461">
        <f t="shared" si="9"/>
        <v>0</v>
      </c>
      <c r="J24" s="461">
        <f t="shared" si="10"/>
        <v>47.579359360223634</v>
      </c>
      <c r="K24" s="461">
        <f t="shared" si="11"/>
        <v>0</v>
      </c>
      <c r="L24" s="461">
        <f t="shared" si="12"/>
        <v>0</v>
      </c>
      <c r="M24" s="461">
        <f t="shared" si="13"/>
        <v>0</v>
      </c>
      <c r="N24" s="461">
        <f t="shared" si="14"/>
        <v>0</v>
      </c>
      <c r="O24" s="461">
        <f t="shared" si="15"/>
        <v>0</v>
      </c>
      <c r="P24" s="462">
        <f t="shared" si="16"/>
        <v>0</v>
      </c>
      <c r="Q24" s="460">
        <f t="shared" ca="1" si="17"/>
        <v>15403.810842661822</v>
      </c>
    </row>
    <row r="25" spans="1:17">
      <c r="A25" s="460" t="s">
        <v>656</v>
      </c>
      <c r="B25" s="461">
        <f t="shared" ca="1" si="2"/>
        <v>3014.4163676064263</v>
      </c>
      <c r="C25" s="461">
        <f t="shared" ca="1" si="3"/>
        <v>0</v>
      </c>
      <c r="D25" s="461">
        <f t="shared" si="4"/>
        <v>2285.4473008105774</v>
      </c>
      <c r="E25" s="461">
        <f t="shared" si="5"/>
        <v>44.587555365566963</v>
      </c>
      <c r="F25" s="461">
        <f t="shared" si="6"/>
        <v>1289.4293123152297</v>
      </c>
      <c r="G25" s="461">
        <f t="shared" si="7"/>
        <v>0</v>
      </c>
      <c r="H25" s="461">
        <f t="shared" si="8"/>
        <v>0</v>
      </c>
      <c r="I25" s="461">
        <f t="shared" si="9"/>
        <v>0</v>
      </c>
      <c r="J25" s="461">
        <f t="shared" si="10"/>
        <v>18.108731525861771</v>
      </c>
      <c r="K25" s="461">
        <f t="shared" si="11"/>
        <v>0</v>
      </c>
      <c r="L25" s="461">
        <f t="shared" si="12"/>
        <v>0</v>
      </c>
      <c r="M25" s="461">
        <f t="shared" si="13"/>
        <v>0</v>
      </c>
      <c r="N25" s="461">
        <f t="shared" si="14"/>
        <v>0</v>
      </c>
      <c r="O25" s="461">
        <f t="shared" si="15"/>
        <v>0</v>
      </c>
      <c r="P25" s="462">
        <f t="shared" si="16"/>
        <v>0</v>
      </c>
      <c r="Q25" s="460">
        <f t="shared" ca="1" si="17"/>
        <v>6651.9892676236623</v>
      </c>
    </row>
    <row r="26" spans="1:17" s="466" customFormat="1">
      <c r="A26" s="464" t="s">
        <v>574</v>
      </c>
      <c r="B26" s="822">
        <f t="shared" ca="1" si="2"/>
        <v>0.63492321036665</v>
      </c>
      <c r="C26" s="465"/>
      <c r="D26" s="465">
        <f t="shared" si="4"/>
        <v>2.7439990526278777</v>
      </c>
      <c r="E26" s="465">
        <f t="shared" si="5"/>
        <v>358.17537858128156</v>
      </c>
      <c r="F26" s="465"/>
      <c r="G26" s="465">
        <f t="shared" si="7"/>
        <v>82048.0570783898</v>
      </c>
      <c r="H26" s="465">
        <f t="shared" si="8"/>
        <v>11653.760019415067</v>
      </c>
      <c r="I26" s="465"/>
      <c r="J26" s="465"/>
      <c r="K26" s="465"/>
      <c r="L26" s="465"/>
      <c r="M26" s="465">
        <f t="shared" si="13"/>
        <v>0</v>
      </c>
      <c r="N26" s="465"/>
      <c r="O26" s="465"/>
      <c r="P26" s="476"/>
      <c r="Q26" s="464">
        <f t="shared" ca="1" si="17"/>
        <v>94063.371398649149</v>
      </c>
    </row>
    <row r="27" spans="1:17">
      <c r="A27" s="460" t="s">
        <v>564</v>
      </c>
      <c r="B27" s="461">
        <f t="shared" ca="1" si="2"/>
        <v>0</v>
      </c>
      <c r="C27" s="461"/>
      <c r="D27" s="465">
        <f>D10*$D$16</f>
        <v>0</v>
      </c>
      <c r="E27" s="461"/>
      <c r="F27" s="461"/>
      <c r="G27" s="461">
        <f t="shared" si="7"/>
        <v>578.66454842653104</v>
      </c>
      <c r="H27" s="461"/>
      <c r="I27" s="461"/>
      <c r="J27" s="461"/>
      <c r="K27" s="461"/>
      <c r="L27" s="461"/>
      <c r="M27" s="461">
        <f t="shared" si="13"/>
        <v>0</v>
      </c>
      <c r="N27" s="461"/>
      <c r="O27" s="461"/>
      <c r="P27" s="462"/>
      <c r="Q27" s="460">
        <f t="shared" ca="1" si="17"/>
        <v>578.66454842653104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23840.942002923526</v>
      </c>
      <c r="C31" s="471">
        <f t="shared" ca="1" si="18"/>
        <v>16056.45378151261</v>
      </c>
      <c r="D31" s="471">
        <f t="shared" ca="1" si="18"/>
        <v>29239.036862392775</v>
      </c>
      <c r="E31" s="471">
        <f t="shared" si="18"/>
        <v>877.37119188697966</v>
      </c>
      <c r="F31" s="471">
        <f t="shared" ca="1" si="18"/>
        <v>5414.6136566110927</v>
      </c>
      <c r="G31" s="471">
        <f t="shared" si="18"/>
        <v>82626.721626816332</v>
      </c>
      <c r="H31" s="471">
        <f t="shared" si="18"/>
        <v>11653.760019415067</v>
      </c>
      <c r="I31" s="471">
        <f t="shared" si="18"/>
        <v>0</v>
      </c>
      <c r="J31" s="471">
        <f t="shared" si="18"/>
        <v>65.688090886085405</v>
      </c>
      <c r="K31" s="471">
        <f t="shared" si="18"/>
        <v>0</v>
      </c>
      <c r="L31" s="471">
        <f t="shared" ca="1" si="18"/>
        <v>0</v>
      </c>
      <c r="M31" s="471">
        <f t="shared" si="18"/>
        <v>0</v>
      </c>
      <c r="N31" s="471">
        <f t="shared" ca="1" si="18"/>
        <v>0</v>
      </c>
      <c r="O31" s="471">
        <f t="shared" si="18"/>
        <v>0</v>
      </c>
      <c r="P31" s="472">
        <f t="shared" si="18"/>
        <v>0</v>
      </c>
      <c r="Q31" s="472">
        <f t="shared" ca="1" si="18"/>
        <v>169774.58723244444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0.21969415150924052</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0.21969415150924052</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0.21969415150924052</v>
      </c>
      <c r="C29" s="512">
        <f ca="1">'EF ele_warmte'!B22</f>
        <v>0.23764705882352949</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2018-12-05T15:54:34Z</dcterms:modified>
</cp:coreProperties>
</file>