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B16" i="16" s="1"/>
  <c r="M89" i="18"/>
  <c r="W88"/>
  <c r="V88"/>
  <c r="U88"/>
  <c r="T88"/>
  <c r="S88"/>
  <c r="R88"/>
  <c r="Q88"/>
  <c r="P88"/>
  <c r="O8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C97" s="1"/>
  <c r="I100" s="1"/>
  <c r="H7" s="1"/>
  <c r="I67" i="14" s="1"/>
  <c r="M57" i="18"/>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G17"/>
  <c r="F17"/>
  <c r="G79" i="14" s="1"/>
  <c r="E17" i="18"/>
  <c r="D17"/>
  <c r="C17"/>
  <c r="B17"/>
  <c r="B79" i="14" s="1"/>
  <c r="B16" i="18"/>
  <c r="B78" i="14" s="1"/>
  <c r="K11" i="18"/>
  <c r="J11"/>
  <c r="I11"/>
  <c r="H11"/>
  <c r="G11"/>
  <c r="F11"/>
  <c r="E11"/>
  <c r="D11"/>
  <c r="C11"/>
  <c r="L8"/>
  <c r="L9" s="1"/>
  <c r="K8"/>
  <c r="K9" s="1"/>
  <c r="I8"/>
  <c r="J68" i="14" s="1"/>
  <c r="H8" i="18"/>
  <c r="G8"/>
  <c r="G9" s="1"/>
  <c r="F8"/>
  <c r="F9" s="1"/>
  <c r="E8"/>
  <c r="F68" i="14" s="1"/>
  <c r="D8" i="18"/>
  <c r="D9" s="1"/>
  <c r="C8"/>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L11"/>
  <c r="K11"/>
  <c r="J11"/>
  <c r="H11"/>
  <c r="G11"/>
  <c r="F11"/>
  <c r="M8"/>
  <c r="K8"/>
  <c r="I8"/>
  <c r="H8"/>
  <c r="G8"/>
  <c r="P7"/>
  <c r="O7"/>
  <c r="M7"/>
  <c r="K7"/>
  <c r="I7"/>
  <c r="H7"/>
  <c r="G7"/>
  <c r="M4"/>
  <c r="K4"/>
  <c r="I4"/>
  <c r="H4"/>
  <c r="G4"/>
  <c r="M79" i="14"/>
  <c r="K79"/>
  <c r="I79"/>
  <c r="E79"/>
  <c r="M78"/>
  <c r="L78"/>
  <c r="H78"/>
  <c r="G78"/>
  <c r="E78"/>
  <c r="H68"/>
  <c r="D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J15" i="16" l="1"/>
  <c r="F13" i="15"/>
  <c r="C18" i="16"/>
  <c r="C8" i="48" s="1"/>
  <c r="L68" i="14"/>
  <c r="D6" i="17"/>
  <c r="B11" i="16"/>
  <c r="D8" i="17"/>
  <c r="D7" i="48" s="1"/>
  <c r="D24" s="1"/>
  <c r="O80" i="14"/>
  <c r="J8" i="18"/>
  <c r="E8" i="16"/>
  <c r="C12" i="14"/>
  <c r="R12" s="1"/>
  <c r="F19" i="19"/>
  <c r="G35" i="14" s="1"/>
  <c r="L19" i="19"/>
  <c r="M35" i="14" s="1"/>
  <c r="L12" i="13"/>
  <c r="M37" i="14" s="1"/>
  <c r="B97" i="18"/>
  <c r="B101" s="1"/>
  <c r="C16" s="1"/>
  <c r="D78" i="14" s="1"/>
  <c r="L4" i="48"/>
  <c r="L21" s="1"/>
  <c r="M12" i="13"/>
  <c r="N37" i="14" s="1"/>
  <c r="N16" i="16"/>
  <c r="D12" i="22"/>
  <c r="E17" i="14"/>
  <c r="D13" i="48"/>
  <c r="D30" s="1"/>
  <c r="D31" i="20"/>
  <c r="E43" i="14" s="1"/>
  <c r="I101" i="18"/>
  <c r="H16" s="1"/>
  <c r="I78" i="14" s="1"/>
  <c r="I81" s="1"/>
  <c r="E12" i="22"/>
  <c r="F17" i="14"/>
  <c r="E13" i="48"/>
  <c r="E30" s="1"/>
  <c r="B12" i="22"/>
  <c r="C17" i="14"/>
  <c r="B13" i="48"/>
  <c r="B13" i="16"/>
  <c r="C35"/>
  <c r="C64" i="14"/>
  <c r="D11" i="48"/>
  <c r="D28" s="1"/>
  <c r="D14" i="15"/>
  <c r="K19" i="19"/>
  <c r="L35" i="14" s="1"/>
  <c r="I19" i="19"/>
  <c r="J35" i="14" s="1"/>
  <c r="B6" i="48"/>
  <c r="Q6" s="1"/>
  <c r="P18" i="16"/>
  <c r="P22" s="1"/>
  <c r="Q39" i="14" s="1"/>
  <c r="J8" i="17"/>
  <c r="J7" i="48" s="1"/>
  <c r="J24" s="1"/>
  <c r="G19" i="18"/>
  <c r="K19"/>
  <c r="L16" i="16"/>
  <c r="L18" s="1"/>
  <c r="N6" i="17"/>
  <c r="C100" i="18"/>
  <c r="G100"/>
  <c r="B81" i="14"/>
  <c r="F100" i="18"/>
  <c r="E31" i="20"/>
  <c r="F43" i="14" s="1"/>
  <c r="H14" i="22"/>
  <c r="F8" i="17"/>
  <c r="G22" i="14" s="1"/>
  <c r="D100" i="18"/>
  <c r="H100"/>
  <c r="B100"/>
  <c r="C7" s="1"/>
  <c r="C9" s="1"/>
  <c r="E9" i="14"/>
  <c r="J9"/>
  <c r="N9"/>
  <c r="N15" s="1"/>
  <c r="I11" i="48"/>
  <c r="M11"/>
  <c r="M19" i="19"/>
  <c r="N35" i="14" s="1"/>
  <c r="J7" i="15"/>
  <c r="O5" i="16"/>
  <c r="B7" i="18"/>
  <c r="B67" i="14" s="1"/>
  <c r="C80"/>
  <c r="C16" i="15"/>
  <c r="D10" i="14" s="1"/>
  <c r="L6" i="17"/>
  <c r="E100" i="18"/>
  <c r="E7" s="1"/>
  <c r="F67" i="14" s="1"/>
  <c r="N13" i="15"/>
  <c r="L13"/>
  <c r="L16" s="1"/>
  <c r="K5" i="48"/>
  <c r="K22" s="1"/>
  <c r="K20" i="15"/>
  <c r="L36" i="14" s="1"/>
  <c r="G27" i="20"/>
  <c r="G12" i="22" s="1"/>
  <c r="G7"/>
  <c r="G10"/>
  <c r="G6"/>
  <c r="G9"/>
  <c r="G11"/>
  <c r="G8"/>
  <c r="M7"/>
  <c r="M10"/>
  <c r="M8"/>
  <c r="M11"/>
  <c r="M9"/>
  <c r="M6"/>
  <c r="L18" i="14"/>
  <c r="Q18"/>
  <c r="Q20" s="1"/>
  <c r="G18"/>
  <c r="M27" i="20"/>
  <c r="J11" i="15"/>
  <c r="N7"/>
  <c r="B11"/>
  <c r="N11"/>
  <c r="F11"/>
  <c r="B38" i="13"/>
  <c r="B50" s="1"/>
  <c r="B7" i="15"/>
  <c r="J18" i="14"/>
  <c r="J20" s="1"/>
  <c r="F18"/>
  <c r="E58" i="22"/>
  <c r="F44" i="14" s="1"/>
  <c r="K18"/>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L41" i="14"/>
  <c r="J15"/>
  <c r="H15"/>
  <c r="L15"/>
  <c r="M46"/>
  <c r="H69"/>
  <c r="P20"/>
  <c r="K20"/>
  <c r="L20"/>
  <c r="G20"/>
  <c r="L69"/>
  <c r="D5" i="15"/>
  <c r="D16" s="1"/>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L28" s="1"/>
  <c r="H21"/>
  <c r="K24"/>
  <c r="K25"/>
  <c r="Q11" i="14"/>
  <c r="P12" i="13"/>
  <c r="Q37" i="14" s="1"/>
  <c r="P4" i="48"/>
  <c r="P21" s="1"/>
  <c r="D12" i="13"/>
  <c r="E37" i="14" s="1"/>
  <c r="D4" i="48"/>
  <c r="D21" s="1"/>
  <c r="E11" i="14"/>
  <c r="H28" i="48"/>
  <c r="G25"/>
  <c r="I28"/>
  <c r="C22" i="13"/>
  <c r="C21"/>
  <c r="C20"/>
  <c r="H25" i="48"/>
  <c r="F28"/>
  <c r="J28"/>
  <c r="N28"/>
  <c r="O24"/>
  <c r="I25"/>
  <c r="P11" i="14"/>
  <c r="O12" i="13"/>
  <c r="P37" i="14" s="1"/>
  <c r="D67"/>
  <c r="F69"/>
  <c r="H9" i="18"/>
  <c r="B10" i="48"/>
  <c r="C18" i="14"/>
  <c r="F7" i="48"/>
  <c r="F24" s="1"/>
  <c r="J12" i="17"/>
  <c r="K48" i="14" s="1"/>
  <c r="P24" i="48"/>
  <c r="E5" i="17"/>
  <c r="C8"/>
  <c r="G24" i="48"/>
  <c r="K14"/>
  <c r="I24"/>
  <c r="G81" i="14"/>
  <c r="D79"/>
  <c r="H79"/>
  <c r="H81" s="1"/>
  <c r="L79"/>
  <c r="L81" s="1"/>
  <c r="F79"/>
  <c r="J79"/>
  <c r="E68"/>
  <c r="E69" s="1"/>
  <c r="I68"/>
  <c r="I69" s="1"/>
  <c r="M68"/>
  <c r="M69" s="1"/>
  <c r="D19" i="18"/>
  <c r="L19"/>
  <c r="B68" i="14"/>
  <c r="G68"/>
  <c r="G69" s="1"/>
  <c r="K68"/>
  <c r="E81"/>
  <c r="M81"/>
  <c r="B19" i="18"/>
  <c r="F19"/>
  <c r="D11" i="14"/>
  <c r="C4" i="48"/>
  <c r="M8" i="18"/>
  <c r="M17"/>
  <c r="M18"/>
  <c r="D13" i="14"/>
  <c r="O78" l="1"/>
  <c r="F101" i="18"/>
  <c r="E101"/>
  <c r="E16" s="1"/>
  <c r="F78" i="14" s="1"/>
  <c r="F81" s="1"/>
  <c r="H101" i="18"/>
  <c r="G101"/>
  <c r="C101"/>
  <c r="E22" i="14"/>
  <c r="G31" i="20"/>
  <c r="H43" i="14" s="1"/>
  <c r="H19" i="18"/>
  <c r="G13" i="48"/>
  <c r="G30" s="1"/>
  <c r="D101" i="18"/>
  <c r="H17" i="14"/>
  <c r="E9" i="18"/>
  <c r="Q13" i="14"/>
  <c r="L5" i="17"/>
  <c r="L8" s="1"/>
  <c r="E19" i="18"/>
  <c r="M28" i="48"/>
  <c r="B35" i="13"/>
  <c r="N5" i="17"/>
  <c r="N8" s="1"/>
  <c r="D81" i="14"/>
  <c r="O79"/>
  <c r="O81" s="1"/>
  <c r="B17" i="6" s="1"/>
  <c r="B9" i="18"/>
  <c r="M31" i="20"/>
  <c r="N43" i="14" s="1"/>
  <c r="M12" i="22"/>
  <c r="O18" i="16"/>
  <c r="B34" i="13"/>
  <c r="B46" s="1"/>
  <c r="E5" s="1"/>
  <c r="E8" s="1"/>
  <c r="E12" s="1"/>
  <c r="F37" i="14" s="1"/>
  <c r="I7" i="18"/>
  <c r="K22" i="14"/>
  <c r="M13"/>
  <c r="L8" i="48"/>
  <c r="L25" s="1"/>
  <c r="L22" i="16"/>
  <c r="M39" i="14" s="1"/>
  <c r="C7" i="48"/>
  <c r="D22" i="14"/>
  <c r="M22" i="48"/>
  <c r="B36" i="13"/>
  <c r="B48" s="1"/>
  <c r="C48" s="1"/>
  <c r="N5" s="1"/>
  <c r="N8" s="1"/>
  <c r="N4" i="48" s="1"/>
  <c r="N21" s="1"/>
  <c r="J7" i="18"/>
  <c r="O68" i="14"/>
  <c r="C68"/>
  <c r="E8" i="17"/>
  <c r="F22" i="14" s="1"/>
  <c r="D69"/>
  <c r="O67"/>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M25"/>
  <c r="M24"/>
  <c r="I31"/>
  <c r="C50" i="13"/>
  <c r="J5" s="1"/>
  <c r="J8" s="1"/>
  <c r="C5" i="48"/>
  <c r="C14" s="1"/>
  <c r="Q15" i="14" l="1"/>
  <c r="Q23" s="1"/>
  <c r="Q55" s="1"/>
  <c r="Q13" i="48"/>
  <c r="I16" i="18"/>
  <c r="J16"/>
  <c r="E7" i="48"/>
  <c r="E24" s="1"/>
  <c r="E12" i="17"/>
  <c r="F48" i="14" s="1"/>
  <c r="L7" i="48"/>
  <c r="L24" s="1"/>
  <c r="M22" i="14"/>
  <c r="L12" i="17"/>
  <c r="M48" i="14" s="1"/>
  <c r="O22"/>
  <c r="N12" i="17"/>
  <c r="O48" i="14" s="1"/>
  <c r="N7" i="48"/>
  <c r="N24" s="1"/>
  <c r="D8"/>
  <c r="D25" s="1"/>
  <c r="R22" i="14"/>
  <c r="E16" i="15"/>
  <c r="E20" s="1"/>
  <c r="F36" i="14" s="1"/>
  <c r="K67"/>
  <c r="K69" s="1"/>
  <c r="J9" i="18"/>
  <c r="J67" i="14"/>
  <c r="I9" i="18"/>
  <c r="M7"/>
  <c r="M9" s="1"/>
  <c r="J16" i="15"/>
  <c r="K10" i="14" s="1"/>
  <c r="O8" i="48"/>
  <c r="O25" s="1"/>
  <c r="P13" i="14"/>
  <c r="P15" s="1"/>
  <c r="P23" s="1"/>
  <c r="M14" i="22"/>
  <c r="M18" s="1"/>
  <c r="N45"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P14"/>
  <c r="B8"/>
  <c r="J5"/>
  <c r="J22" s="1"/>
  <c r="E15" i="14"/>
  <c r="E23" s="1"/>
  <c r="J55"/>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I55" i="14"/>
  <c r="D14" i="48"/>
  <c r="N12" i="13"/>
  <c r="O37" i="14" s="1"/>
  <c r="O11"/>
  <c r="C38" i="13"/>
  <c r="C39"/>
  <c r="C32"/>
  <c r="C34"/>
  <c r="Q7" i="48"/>
  <c r="E4"/>
  <c r="E21" s="1"/>
  <c r="F11" i="14"/>
  <c r="J4" i="48"/>
  <c r="J12" i="13"/>
  <c r="K37" i="14" s="1"/>
  <c r="K11"/>
  <c r="N5" i="48"/>
  <c r="L20" i="15"/>
  <c r="J20" l="1"/>
  <c r="K36" i="14" s="1"/>
  <c r="K78"/>
  <c r="K81" s="1"/>
  <c r="J19" i="18"/>
  <c r="J78" i="14"/>
  <c r="I19" i="18"/>
  <c r="M16"/>
  <c r="M19" s="1"/>
  <c r="E5" i="48"/>
  <c r="E22" s="1"/>
  <c r="F10" i="14"/>
  <c r="N19"/>
  <c r="R19" s="1"/>
  <c r="M9" i="48"/>
  <c r="P55" i="14"/>
  <c r="O31" i="48"/>
  <c r="J18" i="16"/>
  <c r="J8" i="48" s="1"/>
  <c r="J25" s="1"/>
  <c r="N18" i="16"/>
  <c r="N8" i="48" s="1"/>
  <c r="E18" i="16"/>
  <c r="E22" s="1"/>
  <c r="F39" i="14" s="1"/>
  <c r="F41" s="1"/>
  <c r="F53" s="1"/>
  <c r="O14" i="48"/>
  <c r="F18" i="16"/>
  <c r="G13" i="14" s="1"/>
  <c r="G15" s="1"/>
  <c r="G23" s="1"/>
  <c r="J69"/>
  <c r="C67"/>
  <c r="C69" s="1"/>
  <c r="B14" i="48"/>
  <c r="K13" i="14"/>
  <c r="K15" s="1"/>
  <c r="K23" s="1"/>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O13"/>
  <c r="O15" s="1"/>
  <c r="F22" i="16"/>
  <c r="G39" i="14" s="1"/>
  <c r="G41" s="1"/>
  <c r="N22" i="16"/>
  <c r="O39" i="14" s="1"/>
  <c r="O41" s="1"/>
  <c r="Q4" i="48"/>
  <c r="N22"/>
  <c r="R11" i="14"/>
  <c r="J21" i="48"/>
  <c r="R10" i="14"/>
  <c r="Q5" i="48" l="1"/>
  <c r="F13" i="14"/>
  <c r="F15" s="1"/>
  <c r="F23" s="1"/>
  <c r="J81"/>
  <c r="C78"/>
  <c r="C81" s="1"/>
  <c r="F8" i="48"/>
  <c r="N25"/>
  <c r="N31" s="1"/>
  <c r="N14"/>
  <c r="E8"/>
  <c r="Q8" s="1"/>
  <c r="Q14" s="1"/>
  <c r="J22" i="16"/>
  <c r="K39" i="14" s="1"/>
  <c r="K41" s="1"/>
  <c r="K53" s="1"/>
  <c r="J31" i="48"/>
  <c r="J14"/>
  <c r="R20" i="14"/>
  <c r="N55"/>
  <c r="H55"/>
  <c r="G31" i="48"/>
  <c r="F55" i="14"/>
  <c r="O53"/>
  <c r="G53"/>
  <c r="G55" s="1"/>
  <c r="O69" s="1"/>
  <c r="B9" i="6" s="1"/>
  <c r="B12" s="1"/>
  <c r="M53" i="14"/>
  <c r="M55" s="1"/>
  <c r="C12" i="13"/>
  <c r="D37" i="14" s="1"/>
  <c r="D41" s="1"/>
  <c r="C24" i="48"/>
  <c r="C28"/>
  <c r="C22"/>
  <c r="C25"/>
  <c r="C21"/>
  <c r="K55" i="14"/>
  <c r="R13"/>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<sst xmlns="http://schemas.openxmlformats.org/spreadsheetml/2006/main" count="2216" uniqueCount="931">
  <si>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</si>
  <si>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</si>
  <si>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</si>
  <si>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</si>
  <si>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</si>
  <si>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</si>
  <si>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</si>
  <si>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</si>
  <si>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</si>
  <si>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</si>
  <si>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</si>
  <si>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</si>
  <si>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</si>
  <si>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</si>
  <si>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</si>
  <si>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</si>
  <si>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</si>
  <si>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</si>
  <si>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</si>
  <si>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</si>
  <si>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</si>
  <si>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</si>
  <si>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</si>
  <si>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</si>
  <si>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</si>
  <si>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</si>
  <si>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</si>
  <si>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</si>
  <si>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</si>
  <si>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</si>
  <si>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</si>
  <si>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</si>
  <si>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</si>
  <si>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</si>
  <si>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</si>
  <si>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</si>
  <si>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</si>
  <si>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</si>
  <si>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</si>
  <si>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</si>
  <si>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</si>
  <si>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</si>
  <si>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</si>
  <si>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</si>
  <si>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</si>
  <si>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</si>
  <si>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</si>
  <si>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</si>
  <si>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</si>
  <si>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</si>
  <si>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</si>
  <si>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</si>
  <si>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</si>
  <si>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</si>
  <si>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</si>
  <si>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</si>
  <si>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</si>
  <si>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</si>
  <si>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</si>
  <si>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</si>
  <si>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</si>
  <si>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</si>
  <si>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</si>
  <si>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</si>
  <si>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</si>
  <si>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</si>
  <si>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</si>
  <si>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</si>
  <si>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</si>
  <si>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</si>
  <si>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</si>
  <si>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</si>
  <si>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</si>
  <si>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</si>
  <si>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</si>
  <si>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</si>
  <si>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</si>
  <si>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</si>
  <si>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</si>
  <si>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</si>
  <si>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</si>
  <si>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</si>
  <si>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</si>
  <si>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</si>
  <si>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</si>
  <si>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</si>
  <si>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</si>
  <si>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</si>
  <si>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</si>
  <si>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</si>
  <si>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</si>
  <si>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</si>
  <si>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</si>
  <si>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</si>
  <si>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</si>
  <si>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</si>
  <si>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</si>
  <si>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</si>
  <si>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</si>
  <si>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</si>
  <si>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</si>
  <si>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</si>
  <si>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</si>
  <si>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</si>
  <si>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</si>
  <si>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</si>
  <si>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</si>
  <si>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</si>
  <si>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</si>
  <si>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</si>
  <si>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</si>
  <si>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</si>
  <si>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</si>
  <si>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</si>
  <si>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</si>
  <si>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</si>
  <si>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</si>
  <si>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</si>
  <si>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</si>
  <si>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</si>
  <si>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</si>
  <si>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</si>
  <si>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</si>
  <si>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</si>
  <si>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</si>
  <si>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</si>
  <si>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</si>
  <si>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</si>
  <si>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</si>
  <si>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</si>
  <si>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</si>
  <si>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</si>
  <si>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</si>
  <si>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</si>
  <si>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</si>
  <si>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</si>
  <si>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</si>
  <si>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</si>
  <si>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</si>
  <si>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</si>
  <si>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</si>
  <si>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</si>
  <si>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</si>
  <si>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</si>
  <si>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</si>
  <si>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</si>
  <si>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</si>
  <si>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</si>
  <si>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</si>
  <si>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</si>
  <si>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</si>
  <si>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</si>
  <si>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</si>
  <si>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</si>
  <si>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</si>
  <si>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</si>
  <si>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</si>
  <si>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</si>
  <si>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</si>
  <si>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</si>
  <si>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</si>
  <si>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</si>
  <si>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</si>
  <si>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</si>
  <si>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</si>
  <si>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</si>
  <si>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</si>
  <si>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</si>
  <si>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</si>
  <si>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</si>
  <si>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</si>
  <si>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</si>
  <si>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</si>
  <si>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</si>
  <si>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</si>
  <si>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</si>
  <si>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</si>
  <si>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</si>
  <si>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</si>
  <si>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</si>
  <si>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</si>
  <si>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</si>
  <si>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</si>
  <si>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</si>
  <si>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</si>
  <si>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</si>
  <si>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</si>
  <si>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</si>
  <si>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</si>
  <si>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</si>
  <si>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</si>
  <si>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</si>
  <si>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</si>
  <si>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</si>
  <si>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</si>
  <si>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</si>
  <si>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</si>
  <si>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</si>
  <si>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</si>
  <si>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</si>
  <si>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</si>
  <si>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</si>
  <si>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</si>
  <si>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</si>
  <si>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</si>
  <si>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</si>
  <si>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</si>
  <si>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</si>
  <si>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</si>
  <si>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</si>
  <si>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</si>
  <si>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</si>
  <si>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</si>
  <si>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</si>
  <si>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</si>
  <si>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</si>
  <si>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</si>
  <si>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</si>
  <si>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</si>
  <si>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</si>
  <si>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</si>
  <si>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</si>
  <si>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</si>
  <si>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</si>
  <si>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</si>
  <si>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</si>
  <si>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</si>
  <si>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</si>
  <si>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</si>
  <si>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</si>
  <si>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</si>
  <si>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</si>
  <si>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</si>
  <si>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</si>
  <si>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</si>
  <si>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</si>
  <si>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</si>
  <si>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</si>
  <si>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</si>
  <si>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</si>
  <si>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</si>
  <si>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</si>
  <si>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</si>
  <si>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</si>
  <si>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</si>
  <si>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</si>
  <si>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</si>
  <si>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</si>
  <si>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</si>
  <si>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</si>
  <si>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</si>
  <si>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</si>
  <si>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</si>
  <si>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</si>
  <si>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</si>
  <si>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</si>
  <si>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</si>
  <si>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</si>
  <si>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</si>
  <si>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</si>
  <si>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</si>
  <si>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</si>
  <si>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</si>
  <si>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</si>
  <si>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</si>
  <si>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</si>
  <si>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</si>
  <si>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</si>
  <si>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</si>
  <si>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</si>
  <si>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</si>
  <si>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</si>
  <si>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</si>
  <si>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</si>
  <si>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</si>
  <si>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</si>
  <si>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</si>
  <si>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</si>
  <si>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</si>
  <si>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</si>
  <si>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</si>
  <si>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</si>
  <si>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</si>
  <si>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</si>
  <si>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</si>
  <si>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</si>
  <si>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</si>
  <si>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</si>
  <si>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</si>
  <si>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</si>
  <si>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</si>
  <si>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</si>
  <si>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</si>
  <si>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</si>
  <si>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</si>
  <si>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</si>
  <si>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</si>
  <si>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</si>
  <si>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</si>
  <si>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</si>
  <si>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</si>
  <si>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</si>
  <si>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</si>
  <si>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</si>
  <si>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</si>
  <si>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</si>
  <si>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</si>
  <si>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</si>
  <si>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</si>
  <si>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</si>
  <si>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</si>
  <si>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</si>
  <si>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</si>
  <si>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</si>
  <si>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</si>
  <si>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</si>
  <si>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</si>
  <si>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</si>
  <si>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</si>
  <si>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</si>
  <si>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</si>
  <si>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</si>
  <si>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</si>
  <si>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</si>
  <si>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</si>
  <si>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</si>
  <si>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</si>
  <si>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</si>
  <si>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</si>
  <si>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</si>
  <si>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</si>
  <si>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</si>
  <si>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</si>
  <si>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</si>
  <si>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</si>
  <si>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</si>
  <si>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</si>
  <si>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</si>
  <si>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</si>
  <si>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</si>
  <si>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</si>
  <si>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</si>
  <si>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</si>
  <si>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</si>
  <si>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</si>
  <si>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</si>
  <si>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</si>
  <si>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</si>
  <si>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</si>
  <si>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</si>
  <si>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</si>
  <si>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</si>
  <si>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</si>
  <si>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</si>
  <si>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</si>
  <si>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</si>
  <si>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</si>
  <si>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</si>
  <si>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</si>
  <si>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</si>
  <si>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</si>
  <si>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</si>
  <si>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</si>
  <si>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</si>
  <si>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</si>
  <si>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</si>
  <si>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</si>
  <si>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</si>
  <si>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</si>
  <si>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</si>
  <si>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</si>
  <si>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</si>
  <si>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</si>
  <si>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</si>
  <si>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</si>
  <si>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</si>
  <si>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</si>
  <si>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</si>
  <si>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</si>
  <si>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</si>
  <si>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</si>
  <si>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</si>
  <si>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</si>
  <si>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</si>
  <si>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</si>
  <si>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</si>
  <si>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</si>
  <si>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</si>
  <si>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</si>
  <si>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</si>
  <si>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</si>
  <si>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</si>
  <si>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</si>
  <si>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</si>
  <si>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</si>
  <si>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</si>
  <si>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</si>
  <si>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</si>
  <si>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</si>
  <si>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</si>
  <si>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</si>
  <si>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</si>
  <si>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</si>
  <si>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</si>
  <si>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</si>
  <si>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</si>
  <si>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</si>
  <si>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</si>
  <si>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</si>
  <si>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</si>
  <si>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</si>
  <si>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</si>
  <si>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</si>
  <si>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</si>
  <si>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</si>
  <si>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</si>
  <si>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</si>
  <si>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</si>
  <si>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</si>
  <si>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</si>
  <si>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</si>
  <si>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</si>
  <si>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</si>
  <si>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</si>
  <si>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</si>
  <si>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</si>
  <si>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</si>
  <si>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</si>
  <si>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</si>
  <si>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</si>
  <si>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</si>
  <si>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</si>
  <si>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</si>
  <si>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</si>
  <si>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</si>
  <si>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</si>
  <si>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</si>
  <si>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</si>
  <si>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</si>
  <si>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</si>
  <si>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</si>
  <si>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</si>
  <si>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</si>
  <si>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</si>
  <si>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</si>
  <si>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</si>
  <si>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</si>
  <si>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</si>
  <si>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</si>
  <si>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</si>
  <si>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</si>
  <si>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</si>
  <si>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</si>
  <si>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</si>
  <si>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</si>
  <si>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</si>
  <si>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</si>
  <si>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</si>
  <si>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</si>
  <si>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</si>
  <si>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</si>
  <si>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</si>
  <si>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</si>
  <si>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</si>
  <si>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</si>
  <si>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</si>
  <si>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</si>
  <si>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</si>
  <si>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</si>
  <si>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</si>
  <si>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</si>
  <si>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</si>
  <si>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</si>
  <si>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</si>
  <si>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</si>
  <si>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</si>
  <si>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</si>
  <si>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</si>
  <si>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</si>
  <si>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</si>
  <si>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</si>
  <si>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</si>
  <si>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</si>
  <si>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</si>
  <si>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</si>
  <si>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</si>
  <si>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</si>
  <si>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</si>
  <si>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</si>
  <si>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</si>
  <si>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</si>
  <si>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</si>
  <si>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</si>
  <si>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</si>
  <si>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</si>
  <si>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</si>
  <si>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</si>
  <si>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</si>
  <si>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</si>
  <si>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</si>
  <si>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</si>
  <si>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</si>
  <si>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</si>
  <si>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</si>
  <si>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</si>
  <si>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</si>
  <si>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</si>
  <si>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</si>
  <si>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</si>
  <si>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</si>
  <si>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</si>
  <si>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</si>
  <si>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</si>
  <si>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</si>
  <si>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</si>
  <si>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</si>
  <si>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</si>
  <si>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</si>
  <si>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</si>
  <si>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</si>
  <si>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</si>
  <si>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</si>
  <si>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</si>
  <si>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</si>
  <si>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</si>
  <si>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</si>
  <si>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</si>
  <si>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</si>
  <si>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</si>
  <si>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</si>
  <si>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</si>
  <si>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</si>
  <si>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</si>
  <si>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</si>
  <si>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</si>
  <si>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</si>
  <si>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</si>
  <si>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</si>
  <si>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</si>
  <si>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</si>
  <si>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</si>
  <si>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</si>
  <si>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</si>
  <si>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</si>
  <si>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</si>
  <si>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</si>
  <si>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</si>
  <si>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</si>
  <si>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</si>
  <si>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</si>
  <si>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</si>
  <si>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</si>
  <si>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</si>
  <si>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</si>
  <si>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</si>
  <si>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</si>
  <si>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</si>
  <si>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</si>
  <si>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</si>
  <si>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</si>
  <si>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</si>
  <si>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</si>
  <si>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</si>
  <si>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</si>
  <si>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</si>
  <si>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</si>
  <si>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</si>
  <si>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</si>
  <si>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</si>
  <si>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</si>
  <si>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</si>
  <si>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</si>
  <si>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</si>
  <si>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</si>
  <si>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</si>
  <si>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</si>
  <si>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</si>
  <si>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</si>
  <si>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</si>
  <si>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</si>
  <si>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</si>
  <si>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</si>
  <si>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</si>
  <si>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</si>
  <si>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</si>
  <si>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</si>
  <si>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</si>
  <si>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</si>
  <si>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</si>
  <si>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</si>
  <si>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</si>
  <si>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</si>
  <si>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</si>
  <si>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</si>
  <si>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</si>
  <si>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</si>
  <si>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</si>
  <si>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</si>
  <si>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</si>
  <si>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</si>
  <si>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</si>
  <si>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</si>
  <si>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</si>
  <si>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</si>
  <si>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</si>
  <si>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</si>
  <si>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</si>
  <si>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</si>
  <si>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</si>
  <si>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</si>
  <si>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</si>
  <si>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</si>
  <si>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</si>
  <si>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</si>
  <si>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</si>
  <si>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</si>
  <si>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</si>
  <si>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</si>
  <si>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</si>
  <si>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</si>
  <si>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</si>
  <si>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</si>
  <si>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</si>
  <si>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</si>
  <si>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</si>
  <si>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</si>
  <si>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</si>
  <si>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</si>
  <si>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</si>
  <si>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</si>
  <si>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</si>
  <si>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</si>
  <si>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</si>
  <si>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</si>
  <si>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</si>
  <si>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</si>
  <si>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</si>
  <si>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</si>
  <si>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</si>
  <si>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</si>
  <si>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</si>
  <si>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</si>
  <si>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</si>
  <si>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</si>
  <si>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</si>
  <si>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</si>
  <si>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</si>
  <si>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</si>
  <si>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</si>
  <si>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</si>
  <si>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</si>
  <si>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</si>
  <si>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</si>
  <si>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</si>
  <si>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</si>
  <si>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</si>
  <si>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</si>
  <si>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</si>
  <si>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</si>
  <si>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</si>
  <si>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</si>
  <si>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</si>
  <si>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</si>
  <si>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</si>
  <si>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</si>
  <si>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</si>
  <si>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</si>
  <si>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</si>
  <si>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</si>
  <si>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</si>
  <si>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</si>
  <si>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</si>
  <si>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</si>
  <si>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</si>
  <si>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</si>
  <si>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</si>
  <si>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</si>
  <si>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</si>
  <si>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</si>
  <si>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</si>
  <si>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</si>
  <si>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</si>
  <si>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</si>
  <si>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</si>
  <si>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</si>
  <si>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</si>
  <si>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</si>
  <si>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</si>
  <si>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</si>
  <si>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</si>
  <si>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</si>
  <si>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</si>
  <si>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</si>
  <si>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</si>
  <si>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</si>
  <si>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</si>
  <si>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</si>
  <si>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</si>
  <si>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</si>
  <si>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</si>
  <si>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</si>
  <si>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</si>
  <si>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</si>
  <si>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</si>
  <si>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</si>
  <si>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</si>
  <si>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</si>
  <si>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</si>
  <si>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</si>
  <si>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</si>
  <si>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</si>
  <si>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</si>
  <si>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</si>
  <si>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</si>
  <si>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</si>
  <si>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</si>
  <si>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</si>
  <si>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</si>
  <si>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</si>
  <si>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</si>
  <si>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</si>
  <si>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</si>
  <si>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</si>
  <si>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</si>
  <si>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</si>
  <si>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</si>
  <si>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</si>
  <si>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</si>
  <si>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</si>
  <si>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</si>
  <si>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</si>
  <si>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</si>
  <si>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</si>
  <si>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</si>
  <si>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</si>
  <si>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</si>
  <si>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</si>
  <si>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</si>
  <si>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</si>
  <si>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</si>
  <si>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</si>
  <si>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</si>
  <si>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</si>
  <si>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</si>
  <si>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</si>
  <si>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</si>
  <si>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</si>
  <si>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</si>
  <si>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</si>
  <si>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</si>
  <si>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</si>
  <si>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</si>
  <si>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</si>
  <si>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</si>
  <si>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</si>
  <si>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</si>
  <si>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</si>
  <si>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</si>
  <si>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</si>
  <si>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</si>
  <si>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</si>
  <si>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</si>
  <si>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</si>
  <si>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</si>
  <si>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</si>
  <si>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</si>
  <si>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</si>
  <si>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</si>
  <si>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</si>
  <si>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</si>
  <si>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</si>
  <si>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</si>
  <si>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</si>
  <si>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</si>
  <si>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</si>
  <si>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</si>
  <si>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</si>
  <si>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</si>
  <si>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</si>
  <si>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</si>
  <si>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</si>
  <si>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</si>
  <si>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</si>
  <si>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</si>
  <si>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</si>
  <si>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</si>
  <si>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</si>
  <si>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</si>
  <si>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</si>
  <si>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</si>
  <si>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</si>
  <si>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</si>
  <si>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</si>
  <si>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</si>
  <si>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</si>
  <si>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</si>
  <si>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</si>
  <si>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</si>
  <si>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</si>
  <si>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</si>
  <si>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</si>
  <si>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</si>
  <si>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</si>
  <si>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</si>
  <si>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</si>
  <si>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</si>
  <si>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</si>
  <si>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</si>
  <si>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</si>
  <si>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</si>
  <si>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</si>
  <si>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</si>
  <si>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</si>
  <si>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</si>
  <si>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</si>
  <si>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</si>
  <si>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</si>
  <si>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</si>
  <si>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</si>
  <si>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</si>
  <si>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</si>
  <si>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</si>
  <si>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</si>
  <si>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</si>
  <si>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</si>
  <si>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</si>
  <si>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</si>
  <si>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</si>
  <si>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</si>
  <si>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</si>
  <si>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</si>
  <si>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</si>
  <si>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</si>
  <si>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</si>
  <si>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</si>
  <si>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</si>
  <si>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</si>
  <si>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</si>
  <si>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</si>
  <si>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</si>
  <si>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</si>
  <si>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</si>
  <si>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</si>
  <si>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</si>
  <si>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</si>
  <si>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</si>
  <si>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</si>
  <si>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</si>
  <si>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</si>
  <si>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</si>
  <si>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</si>
  <si>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</si>
  <si>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</si>
  <si>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</si>
  <si>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</si>
  <si>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</si>
  <si>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</si>
  <si>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</si>
  <si>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</si>
  <si>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</si>
  <si>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</si>
  <si>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</si>
  <si>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</si>
  <si>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</si>
  <si>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</si>
  <si>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</si>
  <si>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</si>
  <si>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</si>
  <si>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</si>
  <si>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</si>
  <si>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</si>
  <si>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</si>
  <si>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</si>
  <si>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</si>
  <si>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</si>
  <si>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</si>
  <si>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</si>
  <si>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</si>
  <si>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</si>
  <si>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</si>
  <si>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</si>
  <si>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</si>
  <si>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</si>
  <si>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</si>
  <si>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</si>
  <si>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</si>
  <si>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</si>
  <si>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</si>
  <si>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</si>
  <si>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</si>
  <si>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</si>
  <si>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</si>
  <si>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</si>
  <si>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</si>
  <si>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</si>
  <si>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</si>
  <si>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</si>
  <si>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</si>
  <si>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</si>
  <si>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</si>
  <si>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</si>
  <si>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</si>
  <si>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</si>
  <si>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</si>
  <si>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</si>
  <si>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</si>
  <si>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</si>
  <si>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</si>
  <si>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</si>
  <si>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</si>
  <si>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</si>
  <si>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</si>
  <si>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</si>
  <si>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</si>
  <si>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</si>
  <si>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</si>
  <si>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</si>
  <si>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</si>
  <si>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</si>
  <si>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</si>
  <si>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</si>
  <si>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</si>
  <si>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11005</t>
  </si>
  <si>
    <t>BOOM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</si>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</sst>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11005</v>
      </c>
      <c r="B6" s="396"/>
      <c r="C6" s="397"/>
    </row>
    <row r="7" spans="1:7" s="394" customFormat="1" ht="15.75" customHeight="1">
      <c r="A7" s="398" t="str">
        <f>txtMunicipality</f>
        <v>BOOM</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22899.120361714267</v>
      </c>
      <c r="D10" s="702">
        <f ca="1">tertiair!C16</f>
        <v>0</v>
      </c>
      <c r="E10" s="702">
        <f ca="1">tertiair!D16</f>
        <v>33571.955310205682</v>
      </c>
      <c r="F10" s="702">
        <f>tertiair!E16</f>
        <v>497.209534620515</v>
      </c>
      <c r="G10" s="702">
        <f ca="1">tertiair!F16</f>
        <v>4393.7432173309935</v>
      </c>
      <c r="H10" s="702">
        <f>tertiair!G16</f>
        <v>0</v>
      </c>
      <c r="I10" s="702">
        <f>tertiair!H16</f>
        <v>0</v>
      </c>
      <c r="J10" s="702">
        <f>tertiair!I16</f>
        <v>0</v>
      </c>
      <c r="K10" s="702">
        <f>tertiair!J16</f>
        <v>0</v>
      </c>
      <c r="L10" s="702">
        <f>tertiair!K16</f>
        <v>0</v>
      </c>
      <c r="M10" s="702">
        <f ca="1">tertiair!L16</f>
        <v>0</v>
      </c>
      <c r="N10" s="702">
        <f>tertiair!M16</f>
        <v>0</v>
      </c>
      <c r="O10" s="702">
        <f ca="1">tertiair!N16</f>
        <v>467.27135040943142</v>
      </c>
      <c r="P10" s="702">
        <f>tertiair!O16</f>
        <v>1.5633333333333335</v>
      </c>
      <c r="Q10" s="703">
        <f>tertiair!P16</f>
        <v>0</v>
      </c>
      <c r="R10" s="705">
        <f ca="1">SUM(C10:Q10)</f>
        <v>61830.863107614219</v>
      </c>
      <c r="S10" s="67"/>
    </row>
    <row r="11" spans="1:19" s="457" customFormat="1">
      <c r="A11" s="858" t="s">
        <v>226</v>
      </c>
      <c r="B11" s="863"/>
      <c r="C11" s="702">
        <f>huishoudens!B8</f>
        <v>27785.585997922532</v>
      </c>
      <c r="D11" s="702">
        <f>huishoudens!C8</f>
        <v>0</v>
      </c>
      <c r="E11" s="702">
        <f>huishoudens!D8</f>
        <v>76208.119578861806</v>
      </c>
      <c r="F11" s="702">
        <f>huishoudens!E8</f>
        <v>753.94334408254906</v>
      </c>
      <c r="G11" s="702">
        <f>huishoudens!F8</f>
        <v>0</v>
      </c>
      <c r="H11" s="702">
        <f>huishoudens!G8</f>
        <v>0</v>
      </c>
      <c r="I11" s="702">
        <f>huishoudens!H8</f>
        <v>0</v>
      </c>
      <c r="J11" s="702">
        <f>huishoudens!I8</f>
        <v>0</v>
      </c>
      <c r="K11" s="702">
        <f>huishoudens!J8</f>
        <v>0</v>
      </c>
      <c r="L11" s="702">
        <f>huishoudens!K8</f>
        <v>0</v>
      </c>
      <c r="M11" s="702">
        <f>huishoudens!L8</f>
        <v>0</v>
      </c>
      <c r="N11" s="702">
        <f>huishoudens!M8</f>
        <v>0</v>
      </c>
      <c r="O11" s="702">
        <f>huishoudens!N8</f>
        <v>3116.3094198881649</v>
      </c>
      <c r="P11" s="702">
        <f>huishoudens!O8</f>
        <v>29.703333333333333</v>
      </c>
      <c r="Q11" s="703">
        <f>huishoudens!P8</f>
        <v>19.066666666666666</v>
      </c>
      <c r="R11" s="705">
        <f>SUM(C11:Q11)</f>
        <v>107912.72834075506</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6072.3352918366782</v>
      </c>
      <c r="D13" s="702">
        <f>industrie!C18</f>
        <v>0</v>
      </c>
      <c r="E13" s="702">
        <f>industrie!D18</f>
        <v>4042.9485685833315</v>
      </c>
      <c r="F13" s="702">
        <f>industrie!E18</f>
        <v>57.349182023329007</v>
      </c>
      <c r="G13" s="702">
        <f>industrie!F18</f>
        <v>1442.7322788249126</v>
      </c>
      <c r="H13" s="702">
        <f>industrie!G18</f>
        <v>0</v>
      </c>
      <c r="I13" s="702">
        <f>industrie!H18</f>
        <v>0</v>
      </c>
      <c r="J13" s="702">
        <f>industrie!I18</f>
        <v>0</v>
      </c>
      <c r="K13" s="702">
        <f>industrie!J18</f>
        <v>49.761810702254401</v>
      </c>
      <c r="L13" s="702">
        <f>industrie!K18</f>
        <v>0</v>
      </c>
      <c r="M13" s="702">
        <f>industrie!L18</f>
        <v>0</v>
      </c>
      <c r="N13" s="702">
        <f>industrie!M18</f>
        <v>0</v>
      </c>
      <c r="O13" s="702">
        <f>industrie!N18</f>
        <v>125.93429160697973</v>
      </c>
      <c r="P13" s="702">
        <f>industrie!O18</f>
        <v>0</v>
      </c>
      <c r="Q13" s="703">
        <f>industrie!P18</f>
        <v>0</v>
      </c>
      <c r="R13" s="705">
        <f>SUM(C13:Q13)</f>
        <v>11791.061423577485</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56757.041651473475</v>
      </c>
      <c r="D15" s="707">
        <f t="shared" ref="D15:Q15" ca="1" si="0">SUM(D9:D14)</f>
        <v>0</v>
      </c>
      <c r="E15" s="707">
        <f t="shared" ca="1" si="0"/>
        <v>113823.02345765082</v>
      </c>
      <c r="F15" s="707">
        <f t="shared" si="0"/>
        <v>1308.502060726393</v>
      </c>
      <c r="G15" s="707">
        <f t="shared" ca="1" si="0"/>
        <v>5836.4754961559065</v>
      </c>
      <c r="H15" s="707">
        <f t="shared" si="0"/>
        <v>0</v>
      </c>
      <c r="I15" s="707">
        <f t="shared" si="0"/>
        <v>0</v>
      </c>
      <c r="J15" s="707">
        <f t="shared" si="0"/>
        <v>0</v>
      </c>
      <c r="K15" s="707">
        <f t="shared" si="0"/>
        <v>49.761810702254401</v>
      </c>
      <c r="L15" s="707">
        <f t="shared" si="0"/>
        <v>0</v>
      </c>
      <c r="M15" s="707">
        <f t="shared" ca="1" si="0"/>
        <v>0</v>
      </c>
      <c r="N15" s="707">
        <f t="shared" si="0"/>
        <v>0</v>
      </c>
      <c r="O15" s="707">
        <f t="shared" ca="1" si="0"/>
        <v>3709.5150619045758</v>
      </c>
      <c r="P15" s="707">
        <f t="shared" si="0"/>
        <v>31.266666666666666</v>
      </c>
      <c r="Q15" s="708">
        <f t="shared" si="0"/>
        <v>19.066666666666666</v>
      </c>
      <c r="R15" s="709">
        <f ca="1">SUM(R9:R14)</f>
        <v>181534.65287194675</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2254.6962597362835</v>
      </c>
      <c r="I18" s="702">
        <f>transport!H54</f>
        <v>0</v>
      </c>
      <c r="J18" s="702">
        <f>transport!I54</f>
        <v>0</v>
      </c>
      <c r="K18" s="702">
        <f>transport!J54</f>
        <v>0</v>
      </c>
      <c r="L18" s="702">
        <f>transport!K54</f>
        <v>0</v>
      </c>
      <c r="M18" s="702">
        <f>transport!L54</f>
        <v>0</v>
      </c>
      <c r="N18" s="702">
        <f>transport!M54</f>
        <v>96.107906077492089</v>
      </c>
      <c r="O18" s="702">
        <f>transport!N54</f>
        <v>0</v>
      </c>
      <c r="P18" s="702">
        <f>transport!O54</f>
        <v>0</v>
      </c>
      <c r="Q18" s="703">
        <f>transport!P54</f>
        <v>0</v>
      </c>
      <c r="R18" s="705">
        <f>SUM(C18:Q18)</f>
        <v>2350.8041658137754</v>
      </c>
      <c r="S18" s="67"/>
    </row>
    <row r="19" spans="1:19" s="457" customFormat="1" ht="15" thickBot="1">
      <c r="A19" s="858" t="s">
        <v>308</v>
      </c>
      <c r="B19" s="863"/>
      <c r="C19" s="711">
        <f>transport!B14</f>
        <v>1.1022476600305022</v>
      </c>
      <c r="D19" s="711">
        <f>transport!C14</f>
        <v>0</v>
      </c>
      <c r="E19" s="711">
        <f>transport!D14</f>
        <v>5.2135191644489698</v>
      </c>
      <c r="F19" s="711">
        <f>transport!E14</f>
        <v>573.76578784415403</v>
      </c>
      <c r="G19" s="711">
        <f>transport!F14</f>
        <v>0</v>
      </c>
      <c r="H19" s="711">
        <f>transport!G14</f>
        <v>100068.72481103642</v>
      </c>
      <c r="I19" s="711">
        <f>transport!H14</f>
        <v>17717.324991331876</v>
      </c>
      <c r="J19" s="711">
        <f>transport!I14</f>
        <v>0</v>
      </c>
      <c r="K19" s="711">
        <f>transport!J14</f>
        <v>0</v>
      </c>
      <c r="L19" s="711">
        <f>transport!K14</f>
        <v>0</v>
      </c>
      <c r="M19" s="711">
        <f>transport!L14</f>
        <v>0</v>
      </c>
      <c r="N19" s="711">
        <f>transport!M14</f>
        <v>5140.8911052775793</v>
      </c>
      <c r="O19" s="711">
        <f>transport!N14</f>
        <v>0</v>
      </c>
      <c r="P19" s="711">
        <f>transport!O14</f>
        <v>0</v>
      </c>
      <c r="Q19" s="712">
        <f>transport!P14</f>
        <v>0</v>
      </c>
      <c r="R19" s="713">
        <f>SUM(C19:Q19)</f>
        <v>123507.0224623145</v>
      </c>
      <c r="S19" s="67"/>
    </row>
    <row r="20" spans="1:19" s="457" customFormat="1" ht="15.75" thickBot="1">
      <c r="A20" s="714" t="s">
        <v>231</v>
      </c>
      <c r="B20" s="866"/>
      <c r="C20" s="861">
        <f>SUM(C17:C19)</f>
        <v>1.1022476600305022</v>
      </c>
      <c r="D20" s="715">
        <f t="shared" ref="D20:R20" si="1">SUM(D17:D19)</f>
        <v>0</v>
      </c>
      <c r="E20" s="715">
        <f t="shared" si="1"/>
        <v>5.2135191644489698</v>
      </c>
      <c r="F20" s="715">
        <f t="shared" si="1"/>
        <v>573.76578784415403</v>
      </c>
      <c r="G20" s="715">
        <f t="shared" si="1"/>
        <v>0</v>
      </c>
      <c r="H20" s="715">
        <f t="shared" si="1"/>
        <v>102323.4210707727</v>
      </c>
      <c r="I20" s="715">
        <f t="shared" si="1"/>
        <v>17717.324991331876</v>
      </c>
      <c r="J20" s="715">
        <f t="shared" si="1"/>
        <v>0</v>
      </c>
      <c r="K20" s="715">
        <f t="shared" si="1"/>
        <v>0</v>
      </c>
      <c r="L20" s="715">
        <f t="shared" si="1"/>
        <v>0</v>
      </c>
      <c r="M20" s="715">
        <f t="shared" si="1"/>
        <v>0</v>
      </c>
      <c r="N20" s="715">
        <f t="shared" si="1"/>
        <v>5236.9990113550712</v>
      </c>
      <c r="O20" s="715">
        <f t="shared" si="1"/>
        <v>0</v>
      </c>
      <c r="P20" s="715">
        <f t="shared" si="1"/>
        <v>0</v>
      </c>
      <c r="Q20" s="716">
        <f t="shared" si="1"/>
        <v>0</v>
      </c>
      <c r="R20" s="717">
        <f t="shared" si="1"/>
        <v>125857.82662812828</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9.8531119521625001</v>
      </c>
      <c r="D22" s="711">
        <f>+landbouw!C8</f>
        <v>0</v>
      </c>
      <c r="E22" s="711">
        <f>+landbouw!D8</f>
        <v>3167.1266273162514</v>
      </c>
      <c r="F22" s="711">
        <f>+landbouw!E8</f>
        <v>0.10318392147479556</v>
      </c>
      <c r="G22" s="711">
        <f>+landbouw!F8</f>
        <v>50.607151840839812</v>
      </c>
      <c r="H22" s="711">
        <f>+landbouw!G8</f>
        <v>0</v>
      </c>
      <c r="I22" s="711">
        <f>+landbouw!H8</f>
        <v>0</v>
      </c>
      <c r="J22" s="711">
        <f>+landbouw!I8</f>
        <v>0</v>
      </c>
      <c r="K22" s="711">
        <f>+landbouw!J8</f>
        <v>0.87997121227716169</v>
      </c>
      <c r="L22" s="711">
        <f>+landbouw!K8</f>
        <v>0</v>
      </c>
      <c r="M22" s="711">
        <f>+landbouw!L8</f>
        <v>0</v>
      </c>
      <c r="N22" s="711">
        <f>+landbouw!M8</f>
        <v>0</v>
      </c>
      <c r="O22" s="711">
        <f>+landbouw!N8</f>
        <v>0</v>
      </c>
      <c r="P22" s="711">
        <f>+landbouw!O8</f>
        <v>0</v>
      </c>
      <c r="Q22" s="712">
        <f>+landbouw!P8</f>
        <v>0</v>
      </c>
      <c r="R22" s="713">
        <f>SUM(C22:Q22)</f>
        <v>3228.5700462430059</v>
      </c>
      <c r="S22" s="67"/>
    </row>
    <row r="23" spans="1:19" s="457" customFormat="1" ht="17.25" thickTop="1" thickBot="1">
      <c r="A23" s="718" t="s">
        <v>116</v>
      </c>
      <c r="B23" s="852"/>
      <c r="C23" s="719">
        <f ca="1">C20+C15+C22</f>
        <v>56767.997011085674</v>
      </c>
      <c r="D23" s="719">
        <f t="shared" ref="D23:Q23" ca="1" si="2">D20+D15+D22</f>
        <v>0</v>
      </c>
      <c r="E23" s="719">
        <f t="shared" ca="1" si="2"/>
        <v>116995.36360413152</v>
      </c>
      <c r="F23" s="719">
        <f t="shared" si="2"/>
        <v>1882.3710324920216</v>
      </c>
      <c r="G23" s="719">
        <f t="shared" ca="1" si="2"/>
        <v>5887.0826479967463</v>
      </c>
      <c r="H23" s="719">
        <f t="shared" si="2"/>
        <v>102323.4210707727</v>
      </c>
      <c r="I23" s="719">
        <f t="shared" si="2"/>
        <v>17717.324991331876</v>
      </c>
      <c r="J23" s="719">
        <f t="shared" si="2"/>
        <v>0</v>
      </c>
      <c r="K23" s="719">
        <f t="shared" si="2"/>
        <v>50.641781914531563</v>
      </c>
      <c r="L23" s="719">
        <f t="shared" si="2"/>
        <v>0</v>
      </c>
      <c r="M23" s="719">
        <f t="shared" ca="1" si="2"/>
        <v>0</v>
      </c>
      <c r="N23" s="719">
        <f t="shared" si="2"/>
        <v>5236.9990113550712</v>
      </c>
      <c r="O23" s="719">
        <f t="shared" ca="1" si="2"/>
        <v>3709.5150619045758</v>
      </c>
      <c r="P23" s="719">
        <f t="shared" si="2"/>
        <v>31.266666666666666</v>
      </c>
      <c r="Q23" s="720">
        <f t="shared" si="2"/>
        <v>19.066666666666666</v>
      </c>
      <c r="R23" s="721">
        <f ca="1">R20+R15+R22</f>
        <v>310621.04954631807</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4719.7529323953122</v>
      </c>
      <c r="D36" s="702">
        <f ca="1">tertiair!C20</f>
        <v>0</v>
      </c>
      <c r="E36" s="702">
        <f ca="1">tertiair!D20</f>
        <v>6781.5349726615477</v>
      </c>
      <c r="F36" s="702">
        <f>tertiair!E20</f>
        <v>112.86656435885691</v>
      </c>
      <c r="G36" s="702">
        <f ca="1">tertiair!F20</f>
        <v>1173.1294390273754</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12787.283908443093</v>
      </c>
    </row>
    <row r="37" spans="1:18">
      <c r="A37" s="873" t="s">
        <v>226</v>
      </c>
      <c r="B37" s="880"/>
      <c r="C37" s="702">
        <f ca="1">huishoudens!B12</f>
        <v>5726.9056156094002</v>
      </c>
      <c r="D37" s="702">
        <f ca="1">huishoudens!C12</f>
        <v>0</v>
      </c>
      <c r="E37" s="702">
        <f>huishoudens!D12</f>
        <v>15394.040154930086</v>
      </c>
      <c r="F37" s="702">
        <f>huishoudens!E12</f>
        <v>171.14513910673864</v>
      </c>
      <c r="G37" s="702">
        <f>huishoudens!F12</f>
        <v>0</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21292.090909646224</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1251.5730668873682</v>
      </c>
      <c r="D39" s="702">
        <f ca="1">industrie!C22</f>
        <v>0</v>
      </c>
      <c r="E39" s="702">
        <f>industrie!D22</f>
        <v>816.67561085383306</v>
      </c>
      <c r="F39" s="702">
        <f>industrie!E22</f>
        <v>13.018264319295685</v>
      </c>
      <c r="G39" s="702">
        <f>industrie!F22</f>
        <v>385.20951844625165</v>
      </c>
      <c r="H39" s="702">
        <f>industrie!G22</f>
        <v>0</v>
      </c>
      <c r="I39" s="702">
        <f>industrie!H22</f>
        <v>0</v>
      </c>
      <c r="J39" s="702">
        <f>industrie!I22</f>
        <v>0</v>
      </c>
      <c r="K39" s="702">
        <f>industrie!J22</f>
        <v>17.615680988598058</v>
      </c>
      <c r="L39" s="702">
        <f>industrie!K22</f>
        <v>0</v>
      </c>
      <c r="M39" s="702">
        <f>industrie!L22</f>
        <v>0</v>
      </c>
      <c r="N39" s="702">
        <f>industrie!M22</f>
        <v>0</v>
      </c>
      <c r="O39" s="702">
        <f>industrie!N22</f>
        <v>0</v>
      </c>
      <c r="P39" s="702">
        <f>industrie!O22</f>
        <v>0</v>
      </c>
      <c r="Q39" s="812">
        <f>industrie!P22</f>
        <v>0</v>
      </c>
      <c r="R39" s="906">
        <f ca="1">SUM(C39:Q39)</f>
        <v>2484.0921414953464</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11698.23161489208</v>
      </c>
      <c r="D41" s="747">
        <f t="shared" ref="D41:R41" ca="1" si="4">SUM(D35:D40)</f>
        <v>0</v>
      </c>
      <c r="E41" s="747">
        <f t="shared" ca="1" si="4"/>
        <v>22992.250738445466</v>
      </c>
      <c r="F41" s="747">
        <f t="shared" si="4"/>
        <v>297.0299677848912</v>
      </c>
      <c r="G41" s="747">
        <f t="shared" ca="1" si="4"/>
        <v>1558.338957473627</v>
      </c>
      <c r="H41" s="747">
        <f t="shared" si="4"/>
        <v>0</v>
      </c>
      <c r="I41" s="747">
        <f t="shared" si="4"/>
        <v>0</v>
      </c>
      <c r="J41" s="747">
        <f t="shared" si="4"/>
        <v>0</v>
      </c>
      <c r="K41" s="747">
        <f t="shared" si="4"/>
        <v>17.615680988598058</v>
      </c>
      <c r="L41" s="747">
        <f t="shared" si="4"/>
        <v>0</v>
      </c>
      <c r="M41" s="747">
        <f t="shared" ca="1" si="4"/>
        <v>0</v>
      </c>
      <c r="N41" s="747">
        <f t="shared" si="4"/>
        <v>0</v>
      </c>
      <c r="O41" s="747">
        <f t="shared" ca="1" si="4"/>
        <v>0</v>
      </c>
      <c r="P41" s="747">
        <f t="shared" si="4"/>
        <v>0</v>
      </c>
      <c r="Q41" s="748">
        <f t="shared" si="4"/>
        <v>0</v>
      </c>
      <c r="R41" s="749">
        <f t="shared" ca="1" si="4"/>
        <v>36563.466959584664</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602.00390134958775</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602.00390134958775</v>
      </c>
    </row>
    <row r="45" spans="1:18" ht="15" thickBot="1">
      <c r="A45" s="876" t="s">
        <v>308</v>
      </c>
      <c r="B45" s="886"/>
      <c r="C45" s="711">
        <f ca="1">transport!B18</f>
        <v>0.22718499852740101</v>
      </c>
      <c r="D45" s="711">
        <f>transport!C18</f>
        <v>0</v>
      </c>
      <c r="E45" s="711">
        <f>transport!D18</f>
        <v>1.053130871218692</v>
      </c>
      <c r="F45" s="711">
        <f>transport!E18</f>
        <v>130.24483384062296</v>
      </c>
      <c r="G45" s="711">
        <f>transport!F18</f>
        <v>0</v>
      </c>
      <c r="H45" s="711">
        <f>transport!G18</f>
        <v>26718.349524546724</v>
      </c>
      <c r="I45" s="711">
        <f>transport!H18</f>
        <v>4411.6139228416368</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31261.488597098727</v>
      </c>
    </row>
    <row r="46" spans="1:18" ht="15.75" thickBot="1">
      <c r="A46" s="874" t="s">
        <v>231</v>
      </c>
      <c r="B46" s="887"/>
      <c r="C46" s="747">
        <f t="shared" ref="C46:R46" ca="1" si="5">SUM(C43:C45)</f>
        <v>0.22718499852740101</v>
      </c>
      <c r="D46" s="747">
        <f t="shared" ca="1" si="5"/>
        <v>0</v>
      </c>
      <c r="E46" s="747">
        <f t="shared" si="5"/>
        <v>1.053130871218692</v>
      </c>
      <c r="F46" s="747">
        <f t="shared" si="5"/>
        <v>130.24483384062296</v>
      </c>
      <c r="G46" s="747">
        <f t="shared" si="5"/>
        <v>0</v>
      </c>
      <c r="H46" s="747">
        <f t="shared" si="5"/>
        <v>27320.353425896312</v>
      </c>
      <c r="I46" s="747">
        <f t="shared" si="5"/>
        <v>4411.6139228416368</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31863.492498448315</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2.0308314596743258</v>
      </c>
      <c r="D48" s="702">
        <f ca="1">+landbouw!C12</f>
        <v>0</v>
      </c>
      <c r="E48" s="702">
        <f>+landbouw!D12</f>
        <v>639.75957871788285</v>
      </c>
      <c r="F48" s="702">
        <f>+landbouw!E12</f>
        <v>2.3422750174778594E-2</v>
      </c>
      <c r="G48" s="702">
        <f>+landbouw!F12</f>
        <v>13.51210954150423</v>
      </c>
      <c r="H48" s="702">
        <f>+landbouw!G12</f>
        <v>0</v>
      </c>
      <c r="I48" s="702">
        <f>+landbouw!H12</f>
        <v>0</v>
      </c>
      <c r="J48" s="702">
        <f>+landbouw!I12</f>
        <v>0</v>
      </c>
      <c r="K48" s="702">
        <f>+landbouw!J12</f>
        <v>0.3115098091461152</v>
      </c>
      <c r="L48" s="702">
        <f>+landbouw!K12</f>
        <v>0</v>
      </c>
      <c r="M48" s="702">
        <f>+landbouw!L12</f>
        <v>0</v>
      </c>
      <c r="N48" s="702">
        <f>+landbouw!M12</f>
        <v>0</v>
      </c>
      <c r="O48" s="702">
        <f>+landbouw!N12</f>
        <v>0</v>
      </c>
      <c r="P48" s="702">
        <f>+landbouw!O12</f>
        <v>0</v>
      </c>
      <c r="Q48" s="703">
        <f>+landbouw!P12</f>
        <v>0</v>
      </c>
      <c r="R48" s="745">
        <f ca="1">SUM(C48:Q48)</f>
        <v>655.63745227838228</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11700.489631350283</v>
      </c>
      <c r="D53" s="757">
        <f t="shared" ref="D53:Q53" ca="1" si="6">D41+D46+D48</f>
        <v>0</v>
      </c>
      <c r="E53" s="757">
        <f t="shared" ca="1" si="6"/>
        <v>23633.063448034569</v>
      </c>
      <c r="F53" s="757">
        <f t="shared" si="6"/>
        <v>427.29822437568896</v>
      </c>
      <c r="G53" s="757">
        <f t="shared" ca="1" si="6"/>
        <v>1571.8510670151313</v>
      </c>
      <c r="H53" s="757">
        <f t="shared" si="6"/>
        <v>27320.353425896312</v>
      </c>
      <c r="I53" s="757">
        <f t="shared" si="6"/>
        <v>4411.6139228416368</v>
      </c>
      <c r="J53" s="757">
        <f t="shared" si="6"/>
        <v>0</v>
      </c>
      <c r="K53" s="757">
        <f t="shared" si="6"/>
        <v>17.927190797744174</v>
      </c>
      <c r="L53" s="757">
        <f t="shared" si="6"/>
        <v>0</v>
      </c>
      <c r="M53" s="757">
        <f t="shared" ca="1" si="6"/>
        <v>0</v>
      </c>
      <c r="N53" s="757">
        <f t="shared" si="6"/>
        <v>0</v>
      </c>
      <c r="O53" s="757">
        <f t="shared" ca="1" si="6"/>
        <v>0</v>
      </c>
      <c r="P53" s="757">
        <f>P41+P46+P48</f>
        <v>0</v>
      </c>
      <c r="Q53" s="758">
        <f t="shared" si="6"/>
        <v>0</v>
      </c>
      <c r="R53" s="759">
        <f ca="1">R41+R46+R48</f>
        <v>69082.59691031136</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0.20611066529378178</v>
      </c>
      <c r="D55" s="823">
        <f t="shared" ca="1" si="7"/>
        <v>0</v>
      </c>
      <c r="E55" s="823">
        <f t="shared" ca="1" si="7"/>
        <v>0.20200000000000001</v>
      </c>
      <c r="F55" s="823">
        <f t="shared" si="7"/>
        <v>0.22700000000000004</v>
      </c>
      <c r="G55" s="823">
        <f t="shared" ca="1" si="7"/>
        <v>0.26700000000000002</v>
      </c>
      <c r="H55" s="823">
        <f t="shared" si="7"/>
        <v>0.26700000000000002</v>
      </c>
      <c r="I55" s="823">
        <f t="shared" si="7"/>
        <v>0.249</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3824.6050140255707</v>
      </c>
      <c r="C66" s="779">
        <f>'lokale energieproductie'!B6</f>
        <v>3824.6050140255707</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3824.6050140255707</v>
      </c>
      <c r="C69" s="787">
        <f>SUM(C64:C68)</f>
        <v>3824.6050140255707</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27785.585997922532</v>
      </c>
      <c r="C4" s="461">
        <f>huishoudens!C8</f>
        <v>0</v>
      </c>
      <c r="D4" s="461">
        <f>huishoudens!D8</f>
        <v>76208.119578861806</v>
      </c>
      <c r="E4" s="461">
        <f>huishoudens!E8</f>
        <v>753.94334408254906</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3116.3094198881649</v>
      </c>
      <c r="O4" s="461">
        <f>huishoudens!O8</f>
        <v>29.703333333333333</v>
      </c>
      <c r="P4" s="462">
        <f>huishoudens!P8</f>
        <v>19.066666666666666</v>
      </c>
      <c r="Q4" s="463">
        <f>SUM(B4:P4)</f>
        <v>107912.72834075506</v>
      </c>
    </row>
    <row r="5" spans="1:17">
      <c r="A5" s="460" t="s">
        <v>156</v>
      </c>
      <c r="B5" s="461">
        <f ca="1">tertiair!B16</f>
        <v>21908.440361714267</v>
      </c>
      <c r="C5" s="461">
        <f ca="1">tertiair!C16</f>
        <v>0</v>
      </c>
      <c r="D5" s="461">
        <f ca="1">tertiair!D16</f>
        <v>33571.955310205682</v>
      </c>
      <c r="E5" s="461">
        <f>tertiair!E16</f>
        <v>497.209534620515</v>
      </c>
      <c r="F5" s="461">
        <f ca="1">tertiair!F16</f>
        <v>4393.7432173309935</v>
      </c>
      <c r="G5" s="461">
        <f>tertiair!G16</f>
        <v>0</v>
      </c>
      <c r="H5" s="461">
        <f>tertiair!H16</f>
        <v>0</v>
      </c>
      <c r="I5" s="461">
        <f>tertiair!I16</f>
        <v>0</v>
      </c>
      <c r="J5" s="461">
        <f>tertiair!J16</f>
        <v>0</v>
      </c>
      <c r="K5" s="461">
        <f>tertiair!K16</f>
        <v>0</v>
      </c>
      <c r="L5" s="461">
        <f ca="1">tertiair!L16</f>
        <v>0</v>
      </c>
      <c r="M5" s="461">
        <f>tertiair!M16</f>
        <v>0</v>
      </c>
      <c r="N5" s="461">
        <f ca="1">tertiair!N16</f>
        <v>467.27135040943142</v>
      </c>
      <c r="O5" s="461">
        <f>tertiair!O16</f>
        <v>1.5633333333333335</v>
      </c>
      <c r="P5" s="462">
        <f>tertiair!P16</f>
        <v>0</v>
      </c>
      <c r="Q5" s="460">
        <f t="shared" ref="Q5:Q13" ca="1" si="0">SUM(B5:P5)</f>
        <v>60840.183107614219</v>
      </c>
    </row>
    <row r="6" spans="1:17">
      <c r="A6" s="460" t="s">
        <v>195</v>
      </c>
      <c r="B6" s="461">
        <f>'openbare verlichting'!B8</f>
        <v>990.68</v>
      </c>
      <c r="C6" s="461"/>
      <c r="D6" s="461"/>
      <c r="E6" s="461"/>
      <c r="F6" s="461"/>
      <c r="G6" s="461"/>
      <c r="H6" s="461"/>
      <c r="I6" s="461"/>
      <c r="J6" s="461"/>
      <c r="K6" s="461"/>
      <c r="L6" s="461"/>
      <c r="M6" s="461"/>
      <c r="N6" s="461"/>
      <c r="O6" s="461"/>
      <c r="P6" s="462"/>
      <c r="Q6" s="460">
        <f t="shared" si="0"/>
        <v>990.68</v>
      </c>
    </row>
    <row r="7" spans="1:17">
      <c r="A7" s="460" t="s">
        <v>112</v>
      </c>
      <c r="B7" s="461">
        <f>landbouw!B8</f>
        <v>9.8531119521625001</v>
      </c>
      <c r="C7" s="461">
        <f>landbouw!C8</f>
        <v>0</v>
      </c>
      <c r="D7" s="461">
        <f>landbouw!D8</f>
        <v>3167.1266273162514</v>
      </c>
      <c r="E7" s="461">
        <f>landbouw!E8</f>
        <v>0.10318392147479556</v>
      </c>
      <c r="F7" s="461">
        <f>landbouw!F8</f>
        <v>50.607151840839812</v>
      </c>
      <c r="G7" s="461">
        <f>landbouw!G8</f>
        <v>0</v>
      </c>
      <c r="H7" s="461">
        <f>landbouw!H8</f>
        <v>0</v>
      </c>
      <c r="I7" s="461">
        <f>landbouw!I8</f>
        <v>0</v>
      </c>
      <c r="J7" s="461">
        <f>landbouw!J8</f>
        <v>0.87997121227716169</v>
      </c>
      <c r="K7" s="461">
        <f>landbouw!K8</f>
        <v>0</v>
      </c>
      <c r="L7" s="461">
        <f>landbouw!L8</f>
        <v>0</v>
      </c>
      <c r="M7" s="461">
        <f>landbouw!M8</f>
        <v>0</v>
      </c>
      <c r="N7" s="461">
        <f>landbouw!N8</f>
        <v>0</v>
      </c>
      <c r="O7" s="461">
        <f>landbouw!O8</f>
        <v>0</v>
      </c>
      <c r="P7" s="462">
        <f>landbouw!P8</f>
        <v>0</v>
      </c>
      <c r="Q7" s="460">
        <f t="shared" si="0"/>
        <v>3228.5700462430059</v>
      </c>
    </row>
    <row r="8" spans="1:17">
      <c r="A8" s="460" t="s">
        <v>656</v>
      </c>
      <c r="B8" s="461">
        <f>industrie!B18</f>
        <v>6072.3352918366782</v>
      </c>
      <c r="C8" s="461">
        <f>industrie!C18</f>
        <v>0</v>
      </c>
      <c r="D8" s="461">
        <f>industrie!D18</f>
        <v>4042.9485685833315</v>
      </c>
      <c r="E8" s="461">
        <f>industrie!E18</f>
        <v>57.349182023329007</v>
      </c>
      <c r="F8" s="461">
        <f>industrie!F18</f>
        <v>1442.7322788249126</v>
      </c>
      <c r="G8" s="461">
        <f>industrie!G18</f>
        <v>0</v>
      </c>
      <c r="H8" s="461">
        <f>industrie!H18</f>
        <v>0</v>
      </c>
      <c r="I8" s="461">
        <f>industrie!I18</f>
        <v>0</v>
      </c>
      <c r="J8" s="461">
        <f>industrie!J18</f>
        <v>49.761810702254401</v>
      </c>
      <c r="K8" s="461">
        <f>industrie!K18</f>
        <v>0</v>
      </c>
      <c r="L8" s="461">
        <f>industrie!L18</f>
        <v>0</v>
      </c>
      <c r="M8" s="461">
        <f>industrie!M18</f>
        <v>0</v>
      </c>
      <c r="N8" s="461">
        <f>industrie!N18</f>
        <v>125.93429160697973</v>
      </c>
      <c r="O8" s="461">
        <f>industrie!O18</f>
        <v>0</v>
      </c>
      <c r="P8" s="462">
        <f>industrie!P18</f>
        <v>0</v>
      </c>
      <c r="Q8" s="460">
        <f t="shared" si="0"/>
        <v>11791.061423577485</v>
      </c>
    </row>
    <row r="9" spans="1:17" s="466" customFormat="1">
      <c r="A9" s="464" t="s">
        <v>574</v>
      </c>
      <c r="B9" s="465">
        <f>transport!B14</f>
        <v>1.1022476600305022</v>
      </c>
      <c r="C9" s="465"/>
      <c r="D9" s="465">
        <f>transport!D14</f>
        <v>5.2135191644489698</v>
      </c>
      <c r="E9" s="465">
        <f>transport!E14</f>
        <v>573.76578784415403</v>
      </c>
      <c r="F9" s="465"/>
      <c r="G9" s="465">
        <f>transport!G14</f>
        <v>100068.72481103642</v>
      </c>
      <c r="H9" s="465">
        <f>transport!H14</f>
        <v>17717.324991331876</v>
      </c>
      <c r="I9" s="465"/>
      <c r="J9" s="465"/>
      <c r="K9" s="465"/>
      <c r="L9" s="465"/>
      <c r="M9" s="465">
        <f>transport!M14</f>
        <v>5140.8911052775793</v>
      </c>
      <c r="N9" s="465"/>
      <c r="O9" s="465"/>
      <c r="P9" s="465"/>
      <c r="Q9" s="464">
        <f>SUM(B9:P9)</f>
        <v>123507.0224623145</v>
      </c>
    </row>
    <row r="10" spans="1:17">
      <c r="A10" s="460" t="s">
        <v>564</v>
      </c>
      <c r="B10" s="461">
        <f>transport!B54</f>
        <v>0</v>
      </c>
      <c r="C10" s="461"/>
      <c r="D10" s="461">
        <f>transport!D54</f>
        <v>0</v>
      </c>
      <c r="E10" s="461"/>
      <c r="F10" s="461"/>
      <c r="G10" s="461">
        <f>transport!G54</f>
        <v>2254.6962597362835</v>
      </c>
      <c r="H10" s="461"/>
      <c r="I10" s="461"/>
      <c r="J10" s="461"/>
      <c r="K10" s="461"/>
      <c r="L10" s="461"/>
      <c r="M10" s="461">
        <f>transport!M54</f>
        <v>96.107906077492089</v>
      </c>
      <c r="N10" s="461"/>
      <c r="O10" s="461"/>
      <c r="P10" s="462"/>
      <c r="Q10" s="460">
        <f t="shared" si="0"/>
        <v>2350.8041658137754</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56767.997011085681</v>
      </c>
      <c r="C14" s="471">
        <f t="shared" ref="C14:Q14" ca="1" si="1">SUM(C4:C13)</f>
        <v>0</v>
      </c>
      <c r="D14" s="471">
        <f t="shared" ca="1" si="1"/>
        <v>116995.36360413152</v>
      </c>
      <c r="E14" s="471">
        <f t="shared" si="1"/>
        <v>1882.3710324920216</v>
      </c>
      <c r="F14" s="471">
        <f t="shared" ca="1" si="1"/>
        <v>5887.0826479967454</v>
      </c>
      <c r="G14" s="471">
        <f t="shared" si="1"/>
        <v>102323.4210707727</v>
      </c>
      <c r="H14" s="471">
        <f t="shared" si="1"/>
        <v>17717.324991331876</v>
      </c>
      <c r="I14" s="471">
        <f t="shared" si="1"/>
        <v>0</v>
      </c>
      <c r="J14" s="471">
        <f t="shared" si="1"/>
        <v>50.641781914531563</v>
      </c>
      <c r="K14" s="471">
        <f t="shared" si="1"/>
        <v>0</v>
      </c>
      <c r="L14" s="471">
        <f t="shared" ca="1" si="1"/>
        <v>0</v>
      </c>
      <c r="M14" s="471">
        <f t="shared" si="1"/>
        <v>5236.9990113550712</v>
      </c>
      <c r="N14" s="471">
        <f t="shared" ca="1" si="1"/>
        <v>3709.5150619045758</v>
      </c>
      <c r="O14" s="471">
        <f t="shared" si="1"/>
        <v>31.266666666666666</v>
      </c>
      <c r="P14" s="472">
        <f t="shared" si="1"/>
        <v>19.066666666666666</v>
      </c>
      <c r="Q14" s="472">
        <f t="shared" ca="1" si="1"/>
        <v>310621.04954631801</v>
      </c>
    </row>
    <row r="16" spans="1:17">
      <c r="A16" s="474" t="s">
        <v>569</v>
      </c>
      <c r="B16" s="828">
        <f ca="1">huishoudens!B10</f>
        <v>0.20611066529378178</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5726.9056156094002</v>
      </c>
      <c r="C21" s="461">
        <f t="shared" ref="C21:C28" ca="1" si="3">C4*$C$16</f>
        <v>0</v>
      </c>
      <c r="D21" s="461">
        <f t="shared" ref="D21:D30" si="4">D4*$D$16</f>
        <v>15394.040154930086</v>
      </c>
      <c r="E21" s="461">
        <f t="shared" ref="E21:E30" si="5">E4*$E$16</f>
        <v>171.14513910673864</v>
      </c>
      <c r="F21" s="461">
        <f t="shared" ref="F21:F28" si="6">F4*$F$16</f>
        <v>0</v>
      </c>
      <c r="G21" s="461">
        <f t="shared" ref="G21:G30" si="7">G4*$G$16</f>
        <v>0</v>
      </c>
      <c r="H21" s="461">
        <f t="shared" ref="H21:H30" si="8">H4*$H$16</f>
        <v>0</v>
      </c>
      <c r="I21" s="461">
        <f t="shared" ref="I21:I28" si="9">I4*$I$16</f>
        <v>0</v>
      </c>
      <c r="J21" s="461">
        <f t="shared" ref="J21:J28" si="10">J4*$J$16</f>
        <v>0</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21292.090909646224</v>
      </c>
    </row>
    <row r="22" spans="1:17">
      <c r="A22" s="460" t="s">
        <v>156</v>
      </c>
      <c r="B22" s="461">
        <f t="shared" ca="1" si="2"/>
        <v>4515.5632185020686</v>
      </c>
      <c r="C22" s="461">
        <f t="shared" ca="1" si="3"/>
        <v>0</v>
      </c>
      <c r="D22" s="461">
        <f t="shared" ca="1" si="4"/>
        <v>6781.5349726615477</v>
      </c>
      <c r="E22" s="461">
        <f t="shared" si="5"/>
        <v>112.86656435885691</v>
      </c>
      <c r="F22" s="461">
        <f t="shared" ca="1" si="6"/>
        <v>1173.1294390273754</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12583.094194549849</v>
      </c>
    </row>
    <row r="23" spans="1:17">
      <c r="A23" s="460" t="s">
        <v>195</v>
      </c>
      <c r="B23" s="461">
        <f t="shared" ca="1" si="2"/>
        <v>204.18971389324372</v>
      </c>
      <c r="C23" s="461"/>
      <c r="D23" s="461"/>
      <c r="E23" s="461"/>
      <c r="F23" s="461"/>
      <c r="G23" s="461"/>
      <c r="H23" s="461"/>
      <c r="I23" s="461"/>
      <c r="J23" s="461"/>
      <c r="K23" s="461"/>
      <c r="L23" s="461"/>
      <c r="M23" s="461"/>
      <c r="N23" s="461"/>
      <c r="O23" s="461"/>
      <c r="P23" s="462"/>
      <c r="Q23" s="460">
        <f t="shared" ca="1" si="17"/>
        <v>204.18971389324372</v>
      </c>
    </row>
    <row r="24" spans="1:17">
      <c r="A24" s="460" t="s">
        <v>112</v>
      </c>
      <c r="B24" s="461">
        <f t="shared" ca="1" si="2"/>
        <v>2.0308314596743258</v>
      </c>
      <c r="C24" s="461">
        <f t="shared" ca="1" si="3"/>
        <v>0</v>
      </c>
      <c r="D24" s="461">
        <f t="shared" si="4"/>
        <v>639.75957871788285</v>
      </c>
      <c r="E24" s="461">
        <f t="shared" si="5"/>
        <v>2.3422750174778594E-2</v>
      </c>
      <c r="F24" s="461">
        <f t="shared" si="6"/>
        <v>13.51210954150423</v>
      </c>
      <c r="G24" s="461">
        <f t="shared" si="7"/>
        <v>0</v>
      </c>
      <c r="H24" s="461">
        <f t="shared" si="8"/>
        <v>0</v>
      </c>
      <c r="I24" s="461">
        <f t="shared" si="9"/>
        <v>0</v>
      </c>
      <c r="J24" s="461">
        <f t="shared" si="10"/>
        <v>0.3115098091461152</v>
      </c>
      <c r="K24" s="461">
        <f t="shared" si="11"/>
        <v>0</v>
      </c>
      <c r="L24" s="461">
        <f t="shared" si="12"/>
        <v>0</v>
      </c>
      <c r="M24" s="461">
        <f t="shared" si="13"/>
        <v>0</v>
      </c>
      <c r="N24" s="461">
        <f t="shared" si="14"/>
        <v>0</v>
      </c>
      <c r="O24" s="461">
        <f t="shared" si="15"/>
        <v>0</v>
      </c>
      <c r="P24" s="462">
        <f t="shared" si="16"/>
        <v>0</v>
      </c>
      <c r="Q24" s="460">
        <f t="shared" ca="1" si="17"/>
        <v>655.63745227838228</v>
      </c>
    </row>
    <row r="25" spans="1:17">
      <c r="A25" s="460" t="s">
        <v>656</v>
      </c>
      <c r="B25" s="461">
        <f t="shared" ca="1" si="2"/>
        <v>1251.5730668873682</v>
      </c>
      <c r="C25" s="461">
        <f t="shared" ca="1" si="3"/>
        <v>0</v>
      </c>
      <c r="D25" s="461">
        <f t="shared" si="4"/>
        <v>816.67561085383306</v>
      </c>
      <c r="E25" s="461">
        <f t="shared" si="5"/>
        <v>13.018264319295685</v>
      </c>
      <c r="F25" s="461">
        <f t="shared" si="6"/>
        <v>385.20951844625165</v>
      </c>
      <c r="G25" s="461">
        <f t="shared" si="7"/>
        <v>0</v>
      </c>
      <c r="H25" s="461">
        <f t="shared" si="8"/>
        <v>0</v>
      </c>
      <c r="I25" s="461">
        <f t="shared" si="9"/>
        <v>0</v>
      </c>
      <c r="J25" s="461">
        <f t="shared" si="10"/>
        <v>17.615680988598058</v>
      </c>
      <c r="K25" s="461">
        <f t="shared" si="11"/>
        <v>0</v>
      </c>
      <c r="L25" s="461">
        <f t="shared" si="12"/>
        <v>0</v>
      </c>
      <c r="M25" s="461">
        <f t="shared" si="13"/>
        <v>0</v>
      </c>
      <c r="N25" s="461">
        <f t="shared" si="14"/>
        <v>0</v>
      </c>
      <c r="O25" s="461">
        <f t="shared" si="15"/>
        <v>0</v>
      </c>
      <c r="P25" s="462">
        <f t="shared" si="16"/>
        <v>0</v>
      </c>
      <c r="Q25" s="460">
        <f t="shared" ca="1" si="17"/>
        <v>2484.0921414953464</v>
      </c>
    </row>
    <row r="26" spans="1:17" s="466" customFormat="1">
      <c r="A26" s="464" t="s">
        <v>574</v>
      </c>
      <c r="B26" s="822">
        <f t="shared" ca="1" si="2"/>
        <v>0.22718499852740101</v>
      </c>
      <c r="C26" s="465"/>
      <c r="D26" s="465">
        <f t="shared" si="4"/>
        <v>1.053130871218692</v>
      </c>
      <c r="E26" s="465">
        <f t="shared" si="5"/>
        <v>130.24483384062296</v>
      </c>
      <c r="F26" s="465"/>
      <c r="G26" s="465">
        <f t="shared" si="7"/>
        <v>26718.349524546724</v>
      </c>
      <c r="H26" s="465">
        <f t="shared" si="8"/>
        <v>4411.6139228416368</v>
      </c>
      <c r="I26" s="465"/>
      <c r="J26" s="465"/>
      <c r="K26" s="465"/>
      <c r="L26" s="465"/>
      <c r="M26" s="465">
        <f t="shared" si="13"/>
        <v>0</v>
      </c>
      <c r="N26" s="465"/>
      <c r="O26" s="465"/>
      <c r="P26" s="476"/>
      <c r="Q26" s="464">
        <f t="shared" ca="1" si="17"/>
        <v>31261.488597098727</v>
      </c>
    </row>
    <row r="27" spans="1:17">
      <c r="A27" s="460" t="s">
        <v>564</v>
      </c>
      <c r="B27" s="461">
        <f t="shared" ca="1" si="2"/>
        <v>0</v>
      </c>
      <c r="C27" s="461"/>
      <c r="D27" s="465">
        <f>D10*$D$16</f>
        <v>0</v>
      </c>
      <c r="E27" s="461"/>
      <c r="F27" s="461"/>
      <c r="G27" s="461">
        <f t="shared" si="7"/>
        <v>602.00390134958775</v>
      </c>
      <c r="H27" s="461"/>
      <c r="I27" s="461"/>
      <c r="J27" s="461"/>
      <c r="K27" s="461"/>
      <c r="L27" s="461"/>
      <c r="M27" s="461">
        <f t="shared" si="13"/>
        <v>0</v>
      </c>
      <c r="N27" s="461"/>
      <c r="O27" s="461"/>
      <c r="P27" s="462"/>
      <c r="Q27" s="460">
        <f t="shared" ca="1" si="17"/>
        <v>602.00390134958775</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11700.489631350283</v>
      </c>
      <c r="C31" s="471">
        <f t="shared" ca="1" si="18"/>
        <v>0</v>
      </c>
      <c r="D31" s="471">
        <f t="shared" ca="1" si="18"/>
        <v>23633.063448034569</v>
      </c>
      <c r="E31" s="471">
        <f t="shared" si="18"/>
        <v>427.29822437568896</v>
      </c>
      <c r="F31" s="471">
        <f t="shared" ca="1" si="18"/>
        <v>1571.8510670151313</v>
      </c>
      <c r="G31" s="471">
        <f t="shared" si="18"/>
        <v>27320.353425896312</v>
      </c>
      <c r="H31" s="471">
        <f t="shared" si="18"/>
        <v>4411.6139228416368</v>
      </c>
      <c r="I31" s="471">
        <f t="shared" si="18"/>
        <v>0</v>
      </c>
      <c r="J31" s="471">
        <f t="shared" si="18"/>
        <v>17.927190797744174</v>
      </c>
      <c r="K31" s="471">
        <f t="shared" si="18"/>
        <v>0</v>
      </c>
      <c r="L31" s="471">
        <f t="shared" ca="1" si="18"/>
        <v>0</v>
      </c>
      <c r="M31" s="471">
        <f t="shared" si="18"/>
        <v>0</v>
      </c>
      <c r="N31" s="471">
        <f t="shared" ca="1" si="18"/>
        <v>0</v>
      </c>
      <c r="O31" s="471">
        <f t="shared" si="18"/>
        <v>0</v>
      </c>
      <c r="P31" s="472">
        <f t="shared" si="18"/>
        <v>0</v>
      </c>
      <c r="Q31" s="472">
        <f t="shared" ca="1" si="18"/>
        <v>69082.59691031136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0.20611066529378178</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0.20611066529378178</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0.20611066529378178</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11005</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7291</v>
      </c>
      <c r="C9" s="336">
        <v>7957</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60</v>
      </c>
    </row>
    <row r="15" spans="1:6">
      <c r="A15" s="1251" t="s">
        <v>185</v>
      </c>
      <c r="B15" s="333">
        <v>0</v>
      </c>
    </row>
    <row r="16" spans="1:6">
      <c r="A16" s="1251" t="s">
        <v>6</v>
      </c>
      <c r="B16" s="333">
        <v>0</v>
      </c>
    </row>
    <row r="17" spans="1:6">
      <c r="A17" s="1251" t="s">
        <v>7</v>
      </c>
      <c r="B17" s="333">
        <v>0</v>
      </c>
    </row>
    <row r="18" spans="1:6">
      <c r="A18" s="1251" t="s">
        <v>8</v>
      </c>
      <c r="B18" s="333">
        <v>0</v>
      </c>
    </row>
    <row r="19" spans="1:6">
      <c r="A19" s="1251" t="s">
        <v>9</v>
      </c>
      <c r="B19" s="333">
        <v>0</v>
      </c>
    </row>
    <row r="20" spans="1:6">
      <c r="A20" s="1251" t="s">
        <v>10</v>
      </c>
      <c r="B20" s="333">
        <v>0</v>
      </c>
    </row>
    <row r="21" spans="1:6">
      <c r="A21" s="1251" t="s">
        <v>11</v>
      </c>
      <c r="B21" s="333">
        <v>0</v>
      </c>
    </row>
    <row r="22" spans="1:6">
      <c r="A22" s="1251" t="s">
        <v>12</v>
      </c>
      <c r="B22" s="333">
        <v>0</v>
      </c>
    </row>
    <row r="23" spans="1:6">
      <c r="A23" s="1251" t="s">
        <v>13</v>
      </c>
      <c r="B23" s="333">
        <v>0</v>
      </c>
    </row>
    <row r="24" spans="1:6">
      <c r="A24" s="1251" t="s">
        <v>14</v>
      </c>
      <c r="B24" s="333">
        <v>0</v>
      </c>
    </row>
    <row r="25" spans="1:6">
      <c r="A25" s="1251" t="s">
        <v>15</v>
      </c>
      <c r="B25" s="333">
        <v>0</v>
      </c>
    </row>
    <row r="26" spans="1:6">
      <c r="A26" s="1251" t="s">
        <v>16</v>
      </c>
      <c r="B26" s="333">
        <v>0</v>
      </c>
    </row>
    <row r="27" spans="1:6">
      <c r="A27" s="1251" t="s">
        <v>17</v>
      </c>
      <c r="B27" s="333">
        <v>0</v>
      </c>
    </row>
    <row r="28" spans="1:6">
      <c r="A28" s="1251" t="s">
        <v>18</v>
      </c>
      <c r="B28" s="333">
        <v>0</v>
      </c>
    </row>
    <row r="29" spans="1:6">
      <c r="A29" s="1251" t="s">
        <v>925</v>
      </c>
      <c r="B29" s="333">
        <v>38</v>
      </c>
    </row>
    <row r="30" spans="1:6">
      <c r="A30" s="1247" t="s">
        <v>926</v>
      </c>
      <c r="B30" s="1247">
        <v>0</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0</v>
      </c>
      <c r="F35" s="333">
        <v>0</v>
      </c>
    </row>
    <row r="36" spans="1:6">
      <c r="A36" s="1251" t="s">
        <v>25</v>
      </c>
      <c r="B36" s="1251" t="s">
        <v>27</v>
      </c>
      <c r="C36" s="333">
        <v>0</v>
      </c>
      <c r="D36" s="333">
        <v>0</v>
      </c>
      <c r="E36" s="333">
        <v>5</v>
      </c>
      <c r="F36" s="333">
        <v>26587</v>
      </c>
    </row>
    <row r="37" spans="1:6">
      <c r="A37" s="1251" t="s">
        <v>25</v>
      </c>
      <c r="B37" s="1251" t="s">
        <v>28</v>
      </c>
      <c r="C37" s="333">
        <v>0</v>
      </c>
      <c r="D37" s="333">
        <v>0</v>
      </c>
      <c r="E37" s="333">
        <v>0</v>
      </c>
      <c r="F37" s="333">
        <v>0</v>
      </c>
    </row>
    <row r="38" spans="1:6">
      <c r="A38" s="1251" t="s">
        <v>25</v>
      </c>
      <c r="B38" s="1251" t="s">
        <v>29</v>
      </c>
      <c r="C38" s="333">
        <v>0</v>
      </c>
      <c r="D38" s="333">
        <v>0</v>
      </c>
      <c r="E38" s="333">
        <v>3</v>
      </c>
      <c r="F38" s="333">
        <v>25141.0011389799</v>
      </c>
    </row>
    <row r="39" spans="1:6">
      <c r="A39" s="1251" t="s">
        <v>30</v>
      </c>
      <c r="B39" s="1251" t="s">
        <v>31</v>
      </c>
      <c r="C39" s="333">
        <v>5871</v>
      </c>
      <c r="D39" s="333">
        <v>84487937.448848993</v>
      </c>
      <c r="E39" s="333">
        <v>7413</v>
      </c>
      <c r="F39" s="333">
        <v>27272154.535983302</v>
      </c>
    </row>
    <row r="40" spans="1:6">
      <c r="A40" s="1251" t="s">
        <v>30</v>
      </c>
      <c r="B40" s="1251" t="s">
        <v>29</v>
      </c>
      <c r="C40" s="333">
        <v>0</v>
      </c>
      <c r="D40" s="333">
        <v>0</v>
      </c>
      <c r="E40" s="333">
        <v>0</v>
      </c>
      <c r="F40" s="333">
        <v>0</v>
      </c>
    </row>
    <row r="41" spans="1:6">
      <c r="A41" s="1251" t="s">
        <v>32</v>
      </c>
      <c r="B41" s="1251" t="s">
        <v>33</v>
      </c>
      <c r="C41" s="333">
        <v>37</v>
      </c>
      <c r="D41" s="333">
        <v>781001.74544888805</v>
      </c>
      <c r="E41" s="333">
        <v>94</v>
      </c>
      <c r="F41" s="333">
        <v>580071.02983956295</v>
      </c>
    </row>
    <row r="42" spans="1:6">
      <c r="A42" s="1251" t="s">
        <v>32</v>
      </c>
      <c r="B42" s="1251" t="s">
        <v>34</v>
      </c>
      <c r="C42" s="333">
        <v>0</v>
      </c>
      <c r="D42" s="333">
        <v>0</v>
      </c>
      <c r="E42" s="333">
        <v>0</v>
      </c>
      <c r="F42" s="333">
        <v>0</v>
      </c>
    </row>
    <row r="43" spans="1:6">
      <c r="A43" s="1251" t="s">
        <v>32</v>
      </c>
      <c r="B43" s="1251" t="s">
        <v>35</v>
      </c>
      <c r="C43" s="333">
        <v>0</v>
      </c>
      <c r="D43" s="333">
        <v>0</v>
      </c>
      <c r="E43" s="333">
        <v>0</v>
      </c>
      <c r="F43" s="333">
        <v>0</v>
      </c>
    </row>
    <row r="44" spans="1:6">
      <c r="A44" s="1251" t="s">
        <v>32</v>
      </c>
      <c r="B44" s="1251" t="s">
        <v>36</v>
      </c>
      <c r="C44" s="333">
        <v>4</v>
      </c>
      <c r="D44" s="333">
        <v>241182.09048155701</v>
      </c>
      <c r="E44" s="333">
        <v>8</v>
      </c>
      <c r="F44" s="333">
        <v>1004391.86852333</v>
      </c>
    </row>
    <row r="45" spans="1:6">
      <c r="A45" s="1251" t="s">
        <v>32</v>
      </c>
      <c r="B45" s="1251" t="s">
        <v>37</v>
      </c>
      <c r="C45" s="333">
        <v>0</v>
      </c>
      <c r="D45" s="333">
        <v>0</v>
      </c>
      <c r="E45" s="333">
        <v>0</v>
      </c>
      <c r="F45" s="333">
        <v>0</v>
      </c>
    </row>
    <row r="46" spans="1:6">
      <c r="A46" s="1251" t="s">
        <v>32</v>
      </c>
      <c r="B46" s="1251" t="s">
        <v>38</v>
      </c>
      <c r="C46" s="333">
        <v>0</v>
      </c>
      <c r="D46" s="333">
        <v>0</v>
      </c>
      <c r="E46" s="333">
        <v>0</v>
      </c>
      <c r="F46" s="333">
        <v>0</v>
      </c>
    </row>
    <row r="47" spans="1:6">
      <c r="A47" s="1251" t="s">
        <v>32</v>
      </c>
      <c r="B47" s="1251" t="s">
        <v>39</v>
      </c>
      <c r="C47" s="333">
        <v>0</v>
      </c>
      <c r="D47" s="333">
        <v>0</v>
      </c>
      <c r="E47" s="333">
        <v>0</v>
      </c>
      <c r="F47" s="333">
        <v>0</v>
      </c>
    </row>
    <row r="48" spans="1:6">
      <c r="A48" s="1251" t="s">
        <v>32</v>
      </c>
      <c r="B48" s="1251" t="s">
        <v>29</v>
      </c>
      <c r="C48" s="333">
        <v>27</v>
      </c>
      <c r="D48" s="333">
        <v>2952731.7913277098</v>
      </c>
      <c r="E48" s="333">
        <v>39</v>
      </c>
      <c r="F48" s="333">
        <v>4016803.87616733</v>
      </c>
    </row>
    <row r="49" spans="1:6">
      <c r="A49" s="1251" t="s">
        <v>32</v>
      </c>
      <c r="B49" s="1251" t="s">
        <v>40</v>
      </c>
      <c r="C49" s="333">
        <v>0</v>
      </c>
      <c r="D49" s="333">
        <v>0</v>
      </c>
      <c r="E49" s="333">
        <v>0</v>
      </c>
      <c r="F49" s="333">
        <v>0</v>
      </c>
    </row>
    <row r="50" spans="1:6">
      <c r="A50" s="1251" t="s">
        <v>32</v>
      </c>
      <c r="B50" s="1251" t="s">
        <v>41</v>
      </c>
      <c r="C50" s="333">
        <v>11</v>
      </c>
      <c r="D50" s="333">
        <v>507288.99423112598</v>
      </c>
      <c r="E50" s="333">
        <v>16</v>
      </c>
      <c r="F50" s="333">
        <v>471068.517306455</v>
      </c>
    </row>
    <row r="51" spans="1:6">
      <c r="A51" s="1251" t="s">
        <v>42</v>
      </c>
      <c r="B51" s="1251" t="s">
        <v>43</v>
      </c>
      <c r="C51" s="333">
        <v>0</v>
      </c>
      <c r="D51" s="333">
        <v>0</v>
      </c>
      <c r="E51" s="333">
        <v>0</v>
      </c>
      <c r="F51" s="333">
        <v>0</v>
      </c>
    </row>
    <row r="52" spans="1:6">
      <c r="A52" s="1251" t="s">
        <v>42</v>
      </c>
      <c r="B52" s="1251" t="s">
        <v>29</v>
      </c>
      <c r="C52" s="333">
        <v>2</v>
      </c>
      <c r="D52" s="333">
        <v>31232.423749085501</v>
      </c>
      <c r="E52" s="333">
        <v>3</v>
      </c>
      <c r="F52" s="333">
        <v>9853.1119521625005</v>
      </c>
    </row>
    <row r="53" spans="1:6">
      <c r="A53" s="1251" t="s">
        <v>44</v>
      </c>
      <c r="B53" s="1251" t="s">
        <v>45</v>
      </c>
      <c r="C53" s="333">
        <v>207</v>
      </c>
      <c r="D53" s="333">
        <v>3479994.4358032998</v>
      </c>
      <c r="E53" s="333">
        <v>336</v>
      </c>
      <c r="F53" s="333">
        <v>1578877.16607214</v>
      </c>
    </row>
    <row r="54" spans="1:6">
      <c r="A54" s="1251" t="s">
        <v>46</v>
      </c>
      <c r="B54" s="1251" t="s">
        <v>47</v>
      </c>
      <c r="C54" s="333">
        <v>0</v>
      </c>
      <c r="D54" s="333">
        <v>0</v>
      </c>
      <c r="E54" s="333">
        <v>1</v>
      </c>
      <c r="F54" s="333">
        <v>990680</v>
      </c>
    </row>
    <row r="55" spans="1:6">
      <c r="A55" s="1251" t="s">
        <v>46</v>
      </c>
      <c r="B55" s="1251" t="s">
        <v>29</v>
      </c>
      <c r="C55" s="333">
        <v>0</v>
      </c>
      <c r="D55" s="333">
        <v>0</v>
      </c>
      <c r="E55" s="333">
        <v>0</v>
      </c>
      <c r="F55" s="333">
        <v>0</v>
      </c>
    </row>
    <row r="56" spans="1:6">
      <c r="A56" s="1251" t="s">
        <v>48</v>
      </c>
      <c r="B56" s="1251" t="s">
        <v>29</v>
      </c>
      <c r="C56" s="333">
        <v>0</v>
      </c>
      <c r="D56" s="333">
        <v>0</v>
      </c>
      <c r="E56" s="333">
        <v>0</v>
      </c>
      <c r="F56" s="333">
        <v>0</v>
      </c>
    </row>
    <row r="57" spans="1:6">
      <c r="A57" s="1251" t="s">
        <v>49</v>
      </c>
      <c r="B57" s="1251" t="s">
        <v>50</v>
      </c>
      <c r="C57" s="333">
        <v>26</v>
      </c>
      <c r="D57" s="333">
        <v>1919943.2705675799</v>
      </c>
      <c r="E57" s="333">
        <v>79</v>
      </c>
      <c r="F57" s="333">
        <v>1249194.0409268399</v>
      </c>
    </row>
    <row r="58" spans="1:6">
      <c r="A58" s="1251" t="s">
        <v>49</v>
      </c>
      <c r="B58" s="1251" t="s">
        <v>51</v>
      </c>
      <c r="C58" s="333">
        <v>19</v>
      </c>
      <c r="D58" s="333">
        <v>810989.14714724396</v>
      </c>
      <c r="E58" s="333">
        <v>27</v>
      </c>
      <c r="F58" s="333">
        <v>477251.569951249</v>
      </c>
    </row>
    <row r="59" spans="1:6">
      <c r="A59" s="1251" t="s">
        <v>49</v>
      </c>
      <c r="B59" s="1251" t="s">
        <v>52</v>
      </c>
      <c r="C59" s="333">
        <v>81</v>
      </c>
      <c r="D59" s="333">
        <v>4163401.5508384099</v>
      </c>
      <c r="E59" s="333">
        <v>181</v>
      </c>
      <c r="F59" s="333">
        <v>5917104.29553854</v>
      </c>
    </row>
    <row r="60" spans="1:6">
      <c r="A60" s="1251" t="s">
        <v>49</v>
      </c>
      <c r="B60" s="1251" t="s">
        <v>53</v>
      </c>
      <c r="C60" s="333">
        <v>65</v>
      </c>
      <c r="D60" s="333">
        <v>4826946.0038022501</v>
      </c>
      <c r="E60" s="333">
        <v>128</v>
      </c>
      <c r="F60" s="333">
        <v>2518030.9586634501</v>
      </c>
    </row>
    <row r="61" spans="1:6">
      <c r="A61" s="1251" t="s">
        <v>49</v>
      </c>
      <c r="B61" s="1251" t="s">
        <v>54</v>
      </c>
      <c r="C61" s="333">
        <v>142</v>
      </c>
      <c r="D61" s="333">
        <v>13805048.560543399</v>
      </c>
      <c r="E61" s="333">
        <v>347</v>
      </c>
      <c r="F61" s="333">
        <v>6452388.4773194799</v>
      </c>
    </row>
    <row r="62" spans="1:6">
      <c r="A62" s="1251" t="s">
        <v>49</v>
      </c>
      <c r="B62" s="1251" t="s">
        <v>55</v>
      </c>
      <c r="C62" s="333">
        <v>15</v>
      </c>
      <c r="D62" s="333">
        <v>4808198.6993907299</v>
      </c>
      <c r="E62" s="333">
        <v>24</v>
      </c>
      <c r="F62" s="333">
        <v>1084912.81799784</v>
      </c>
    </row>
    <row r="63" spans="1:6">
      <c r="A63" s="1251" t="s">
        <v>49</v>
      </c>
      <c r="B63" s="1251" t="s">
        <v>29</v>
      </c>
      <c r="C63" s="333">
        <v>107</v>
      </c>
      <c r="D63" s="333">
        <v>6884935.4176058201</v>
      </c>
      <c r="E63" s="333">
        <v>91</v>
      </c>
      <c r="F63" s="333">
        <v>4209558.2013168698</v>
      </c>
    </row>
    <row r="64" spans="1:6">
      <c r="A64" s="1251" t="s">
        <v>56</v>
      </c>
      <c r="B64" s="1251" t="s">
        <v>57</v>
      </c>
      <c r="C64" s="333">
        <v>0</v>
      </c>
      <c r="D64" s="333">
        <v>0</v>
      </c>
      <c r="E64" s="333">
        <v>0</v>
      </c>
      <c r="F64" s="333">
        <v>0</v>
      </c>
    </row>
    <row r="65" spans="1:6">
      <c r="A65" s="1251" t="s">
        <v>56</v>
      </c>
      <c r="B65" s="1251" t="s">
        <v>29</v>
      </c>
      <c r="C65" s="333">
        <v>1</v>
      </c>
      <c r="D65" s="333">
        <v>18929.2896024783</v>
      </c>
      <c r="E65" s="333">
        <v>1</v>
      </c>
      <c r="F65" s="333">
        <v>1032.154323196</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3</v>
      </c>
      <c r="D68" s="333">
        <v>80782.476100912696</v>
      </c>
      <c r="E68" s="333">
        <v>4</v>
      </c>
      <c r="F68" s="333">
        <v>49679.738544312102</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80622771</v>
      </c>
      <c r="E73" s="333">
        <v>84596391.079452053</v>
      </c>
      <c r="F73" s="333">
        <v>78279513</v>
      </c>
    </row>
    <row r="74" spans="1:6">
      <c r="A74" s="1251" t="s">
        <v>64</v>
      </c>
      <c r="B74" s="1251" t="s">
        <v>775</v>
      </c>
      <c r="C74" s="1262" t="s">
        <v>776</v>
      </c>
      <c r="D74" s="333">
        <v>7019742.3243451444</v>
      </c>
      <c r="E74" s="333">
        <v>7461205.86668735</v>
      </c>
      <c r="F74" s="333">
        <v>7143355.7770895995</v>
      </c>
    </row>
    <row r="75" spans="1:6">
      <c r="A75" s="1251" t="s">
        <v>65</v>
      </c>
      <c r="B75" s="1251" t="s">
        <v>773</v>
      </c>
      <c r="C75" s="1262" t="s">
        <v>777</v>
      </c>
      <c r="D75" s="333">
        <v>14970826</v>
      </c>
      <c r="E75" s="333">
        <v>15703896.260144724</v>
      </c>
      <c r="F75" s="333">
        <v>14531834</v>
      </c>
    </row>
    <row r="76" spans="1:6">
      <c r="A76" s="1251" t="s">
        <v>65</v>
      </c>
      <c r="B76" s="1251" t="s">
        <v>775</v>
      </c>
      <c r="C76" s="1262" t="s">
        <v>778</v>
      </c>
      <c r="D76" s="333">
        <v>821630.32434514491</v>
      </c>
      <c r="E76" s="333">
        <v>919292.51005387306</v>
      </c>
      <c r="F76" s="333">
        <v>864321.77708959952</v>
      </c>
    </row>
    <row r="77" spans="1:6">
      <c r="A77" s="1251" t="s">
        <v>66</v>
      </c>
      <c r="B77" s="1251" t="s">
        <v>773</v>
      </c>
      <c r="C77" s="1262" t="s">
        <v>779</v>
      </c>
      <c r="D77" s="333">
        <v>42462985</v>
      </c>
      <c r="E77" s="333">
        <v>49522253.834483288</v>
      </c>
      <c r="F77" s="333">
        <v>44828646</v>
      </c>
    </row>
    <row r="78" spans="1:6">
      <c r="A78" s="1247" t="s">
        <v>66</v>
      </c>
      <c r="B78" s="1247" t="s">
        <v>775</v>
      </c>
      <c r="C78" s="1247" t="s">
        <v>780</v>
      </c>
      <c r="D78" s="1247">
        <v>4312704</v>
      </c>
      <c r="E78" s="1247">
        <v>5337199.7854307061</v>
      </c>
      <c r="F78" s="336">
        <v>4773975</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618177.3513097103</v>
      </c>
      <c r="C83" s="333">
        <v>569855.93926388409</v>
      </c>
      <c r="D83" s="333">
        <v>576386.44582080096</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513.43146193922803</v>
      </c>
    </row>
    <row r="92" spans="1:6">
      <c r="A92" s="1247" t="s">
        <v>69</v>
      </c>
      <c r="B92" s="336">
        <v>3311.1735520863426</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4674</v>
      </c>
    </row>
    <row r="98" spans="1:6">
      <c r="A98" s="1251" t="s">
        <v>72</v>
      </c>
      <c r="B98" s="333">
        <v>13</v>
      </c>
    </row>
    <row r="99" spans="1:6">
      <c r="A99" s="1251" t="s">
        <v>73</v>
      </c>
      <c r="B99" s="333">
        <v>21</v>
      </c>
    </row>
    <row r="100" spans="1:6">
      <c r="A100" s="1251" t="s">
        <v>74</v>
      </c>
      <c r="B100" s="333">
        <v>762</v>
      </c>
    </row>
    <row r="101" spans="1:6">
      <c r="A101" s="1251" t="s">
        <v>75</v>
      </c>
      <c r="B101" s="333">
        <v>30</v>
      </c>
    </row>
    <row r="102" spans="1:6">
      <c r="A102" s="1251" t="s">
        <v>76</v>
      </c>
      <c r="B102" s="333">
        <v>150</v>
      </c>
    </row>
    <row r="103" spans="1:6">
      <c r="A103" s="1251" t="s">
        <v>77</v>
      </c>
      <c r="B103" s="333">
        <v>71</v>
      </c>
    </row>
    <row r="104" spans="1:6">
      <c r="A104" s="1251" t="s">
        <v>78</v>
      </c>
      <c r="B104" s="333">
        <v>811</v>
      </c>
    </row>
    <row r="105" spans="1:6">
      <c r="A105" s="1247" t="s">
        <v>79</v>
      </c>
      <c r="B105" s="1247">
        <v>3</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0</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0</v>
      </c>
      <c r="C123" s="333">
        <v>4</v>
      </c>
    </row>
    <row r="124" spans="1:6">
      <c r="A124" s="1247" t="s">
        <v>89</v>
      </c>
      <c r="B124" s="333">
        <v>0</v>
      </c>
      <c r="C124" s="333">
        <v>5</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10</v>
      </c>
    </row>
    <row r="130" spans="1:6">
      <c r="A130" s="1251" t="s">
        <v>296</v>
      </c>
      <c r="B130" s="333">
        <v>1</v>
      </c>
    </row>
    <row r="131" spans="1:6">
      <c r="A131" s="1251" t="s">
        <v>297</v>
      </c>
      <c r="B131" s="333">
        <v>0</v>
      </c>
    </row>
    <row r="132" spans="1:6">
      <c r="A132" s="1247" t="s">
        <v>298</v>
      </c>
      <c r="B132" s="336">
        <v>1</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56767.997011085674</v>
      </c>
      <c r="C3" s="43" t="s">
        <v>171</v>
      </c>
      <c r="D3" s="43"/>
      <c r="E3" s="156"/>
      <c r="F3" s="43"/>
      <c r="G3" s="43"/>
      <c r="H3" s="43"/>
      <c r="I3" s="43"/>
      <c r="J3" s="43"/>
      <c r="K3" s="96"/>
    </row>
    <row r="4" spans="1:11">
      <c r="A4" s="364" t="s">
        <v>172</v>
      </c>
      <c r="B4" s="49">
        <f>IF(ISERROR('SEAP template'!B69),0,'SEAP template'!B69)</f>
        <v>3824.6050140255707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0.20611066529378178</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990.68</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990.68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0.20611066529378178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204.18971389324372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27272.154535983304</v>
      </c>
      <c r="C5" s="17">
        <f>IF(ISERROR('Eigen informatie GS &amp; warmtenet'!B57),0,'Eigen informatie GS &amp; warmtenet'!B57)</f>
        <v>0</v>
      </c>
      <c r="D5" s="30">
        <f>(SUM(HH_hh_gas_kWh,HH_rest_gas_kWh)/1000)*0.902</f>
        <v>76208.119578861806</v>
      </c>
      <c r="E5" s="17">
        <f>B46*B57</f>
        <v>753.94334408254906</v>
      </c>
      <c r="F5" s="17">
        <f>B51*B62</f>
        <v>0</v>
      </c>
      <c r="G5" s="18"/>
      <c r="H5" s="17"/>
      <c r="I5" s="17"/>
      <c r="J5" s="17">
        <f>B50*B61+C50*C61</f>
        <v>0</v>
      </c>
      <c r="K5" s="17"/>
      <c r="L5" s="17"/>
      <c r="M5" s="17"/>
      <c r="N5" s="17">
        <f>B48*B59+C48*C59</f>
        <v>3116.3094198881649</v>
      </c>
      <c r="O5" s="17">
        <f>B69*B70*B71</f>
        <v>29.703333333333333</v>
      </c>
      <c r="P5" s="17">
        <f>B77*B78*B79/1000-B77*B78*B79/1000/B80</f>
        <v>19.066666666666666</v>
      </c>
    </row>
    <row r="6" spans="1:16">
      <c r="A6" s="16" t="s">
        <v>633</v>
      </c>
      <c r="B6" s="830">
        <f>kWh_PV_kleiner_dan_10kW</f>
        <v>513.43146193922803</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27785.585997922532</v>
      </c>
      <c r="C8" s="21">
        <f>C5</f>
        <v>0</v>
      </c>
      <c r="D8" s="21">
        <f>D5</f>
        <v>76208.119578861806</v>
      </c>
      <c r="E8" s="21">
        <f>E5</f>
        <v>753.94334408254906</v>
      </c>
      <c r="F8" s="21">
        <f>F5</f>
        <v>0</v>
      </c>
      <c r="G8" s="21"/>
      <c r="H8" s="21"/>
      <c r="I8" s="21"/>
      <c r="J8" s="21">
        <f>J5</f>
        <v>0</v>
      </c>
      <c r="K8" s="21"/>
      <c r="L8" s="21">
        <f>L5</f>
        <v>0</v>
      </c>
      <c r="M8" s="21">
        <f>M5</f>
        <v>0</v>
      </c>
      <c r="N8" s="21">
        <f>N5</f>
        <v>3116.3094198881649</v>
      </c>
      <c r="O8" s="21">
        <f>O5</f>
        <v>29.703333333333333</v>
      </c>
      <c r="P8" s="21">
        <f>P5</f>
        <v>19.066666666666666</v>
      </c>
    </row>
    <row r="9" spans="1:16">
      <c r="B9" s="19"/>
      <c r="C9" s="19"/>
      <c r="D9" s="260"/>
      <c r="E9" s="19"/>
      <c r="F9" s="19"/>
      <c r="G9" s="19"/>
      <c r="H9" s="19"/>
      <c r="I9" s="19"/>
      <c r="J9" s="19"/>
      <c r="K9" s="19"/>
      <c r="L9" s="19"/>
      <c r="M9" s="19"/>
      <c r="N9" s="19"/>
      <c r="O9" s="19"/>
      <c r="P9" s="19"/>
    </row>
    <row r="10" spans="1:16">
      <c r="A10" s="24" t="s">
        <v>215</v>
      </c>
      <c r="B10" s="25">
        <f ca="1">'EF ele_warmte'!B12</f>
        <v>0.20611066529378178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5726.9056156094002</v>
      </c>
      <c r="C12" s="23">
        <f ca="1">C10*C8</f>
        <v>0</v>
      </c>
      <c r="D12" s="23">
        <f>D8*D10</f>
        <v>15394.040154930086</v>
      </c>
      <c r="E12" s="23">
        <f>E10*E8</f>
        <v>171.14513910673864</v>
      </c>
      <c r="F12" s="23">
        <f>F10*F8</f>
        <v>0</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4674</v>
      </c>
      <c r="C18" s="167" t="s">
        <v>111</v>
      </c>
      <c r="D18" s="229"/>
      <c r="E18" s="15"/>
    </row>
    <row r="19" spans="1:7">
      <c r="A19" s="172" t="s">
        <v>72</v>
      </c>
      <c r="B19" s="37">
        <f>aantalw2001_ander</f>
        <v>13</v>
      </c>
      <c r="C19" s="167" t="s">
        <v>111</v>
      </c>
      <c r="D19" s="230"/>
      <c r="E19" s="15"/>
    </row>
    <row r="20" spans="1:7">
      <c r="A20" s="172" t="s">
        <v>73</v>
      </c>
      <c r="B20" s="37">
        <f>aantalw2001_propaan</f>
        <v>21</v>
      </c>
      <c r="C20" s="168">
        <f>IF(ISERROR(B20/SUM($B$20,$B$21,$B$22)*100),0,B20/SUM($B$20,$B$21,$B$22)*100)</f>
        <v>2.5830258302583027</v>
      </c>
      <c r="D20" s="230"/>
      <c r="E20" s="15"/>
    </row>
    <row r="21" spans="1:7">
      <c r="A21" s="172" t="s">
        <v>74</v>
      </c>
      <c r="B21" s="37">
        <f>aantalw2001_elektriciteit</f>
        <v>762</v>
      </c>
      <c r="C21" s="168">
        <f>IF(ISERROR(B21/SUM($B$20,$B$21,$B$22)*100),0,B21/SUM($B$20,$B$21,$B$22)*100)</f>
        <v>93.726937269372684</v>
      </c>
      <c r="D21" s="230"/>
      <c r="E21" s="15"/>
    </row>
    <row r="22" spans="1:7">
      <c r="A22" s="172" t="s">
        <v>75</v>
      </c>
      <c r="B22" s="37">
        <f>aantalw2001_hout</f>
        <v>30</v>
      </c>
      <c r="C22" s="168">
        <f>IF(ISERROR(B22/SUM($B$20,$B$21,$B$22)*100),0,B22/SUM($B$20,$B$21,$B$22)*100)</f>
        <v>3.6900369003690034</v>
      </c>
      <c r="D22" s="230"/>
      <c r="E22" s="15"/>
    </row>
    <row r="23" spans="1:7">
      <c r="A23" s="172" t="s">
        <v>76</v>
      </c>
      <c r="B23" s="37">
        <f>aantalw2001_niet_gespec</f>
        <v>150</v>
      </c>
      <c r="C23" s="167" t="s">
        <v>111</v>
      </c>
      <c r="D23" s="229"/>
      <c r="E23" s="15"/>
    </row>
    <row r="24" spans="1:7">
      <c r="A24" s="172" t="s">
        <v>77</v>
      </c>
      <c r="B24" s="37">
        <f>aantalw2001_steenkool</f>
        <v>71</v>
      </c>
      <c r="C24" s="167" t="s">
        <v>111</v>
      </c>
      <c r="D24" s="230"/>
      <c r="E24" s="15"/>
    </row>
    <row r="25" spans="1:7">
      <c r="A25" s="172" t="s">
        <v>78</v>
      </c>
      <c r="B25" s="37">
        <f>aantalw2001_stookolie</f>
        <v>811</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713</v>
      </c>
      <c r="B28" s="37">
        <f>aantalHuishoudens2011</f>
        <v>7291</v>
      </c>
      <c r="C28" s="36"/>
      <c r="D28" s="229"/>
    </row>
    <row r="29" spans="1:7" s="15" customFormat="1">
      <c r="A29" s="231" t="s">
        <v>714</v>
      </c>
      <c r="B29" s="37">
        <f>SUM(HH_hh_gas_aantal,HH_rest_gas_aantal)</f>
        <v>5871</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5871</v>
      </c>
      <c r="C32" s="168">
        <f>IF(ISERROR(B32/SUM($B$32,$B$34,$B$35,$B$36,$B$38,$B$39)*100),0,B32/SUM($B$32,$B$34,$B$35,$B$36,$B$38,$B$39)*100)</f>
        <v>80.534979423868307</v>
      </c>
      <c r="D32" s="234"/>
      <c r="G32" s="15"/>
    </row>
    <row r="33" spans="1:7">
      <c r="A33" s="172" t="s">
        <v>72</v>
      </c>
      <c r="B33" s="34" t="s">
        <v>111</v>
      </c>
      <c r="C33" s="168"/>
      <c r="D33" s="234"/>
      <c r="G33" s="15"/>
    </row>
    <row r="34" spans="1:7">
      <c r="A34" s="172" t="s">
        <v>73</v>
      </c>
      <c r="B34" s="33">
        <f>IF((($B$28-$B$32-$B$39-$B$77-$B$38)*C20/100)&lt;0,0,($B$28-$B$32-$B$39-$B$77-$B$38)*C20/100)</f>
        <v>36.65313653136532</v>
      </c>
      <c r="C34" s="168">
        <f>IF(ISERROR(B34/SUM($B$32,$B$34,$B$35,$B$36,$B$38,$B$39)*100),0,B34/SUM($B$32,$B$34,$B$35,$B$36,$B$38,$B$39)*100)</f>
        <v>0.50278650934657498</v>
      </c>
      <c r="D34" s="234"/>
      <c r="G34" s="15"/>
    </row>
    <row r="35" spans="1:7">
      <c r="A35" s="172" t="s">
        <v>74</v>
      </c>
      <c r="B35" s="33">
        <f>IF((($B$28-$B$32-$B$39-$B$77-$B$38)*C21/100)&lt;0,0,($B$28-$B$32-$B$39-$B$77-$B$38)*C21/100)</f>
        <v>1329.9852398523985</v>
      </c>
      <c r="C35" s="168">
        <f>IF(ISERROR(B35/SUM($B$32,$B$34,$B$35,$B$36,$B$38,$B$39)*100),0,B35/SUM($B$32,$B$34,$B$35,$B$36,$B$38,$B$39)*100)</f>
        <v>18.243967624861433</v>
      </c>
      <c r="D35" s="234"/>
      <c r="G35" s="15"/>
    </row>
    <row r="36" spans="1:7">
      <c r="A36" s="172" t="s">
        <v>75</v>
      </c>
      <c r="B36" s="33">
        <f>IF((($B$28-$B$32-$B$39-$B$77-$B$38)*C22/100)&lt;0,0,($B$28-$B$32-$B$39-$B$77-$B$38)*C22/100)</f>
        <v>52.361623616236159</v>
      </c>
      <c r="C36" s="168">
        <f>IF(ISERROR(B36/SUM($B$32,$B$34,$B$35,$B$36,$B$38,$B$39)*100),0,B36/SUM($B$32,$B$34,$B$35,$B$36,$B$38,$B$39)*100)</f>
        <v>0.71826644192367839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5871</v>
      </c>
      <c r="C44" s="34" t="s">
        <v>111</v>
      </c>
      <c r="D44" s="175"/>
    </row>
    <row r="45" spans="1:7">
      <c r="A45" s="172" t="s">
        <v>72</v>
      </c>
      <c r="B45" s="33" t="str">
        <f t="shared" si="0"/>
        <v>-</v>
      </c>
      <c r="C45" s="34" t="s">
        <v>111</v>
      </c>
      <c r="D45" s="175"/>
    </row>
    <row r="46" spans="1:7">
      <c r="A46" s="172" t="s">
        <v>73</v>
      </c>
      <c r="B46" s="33">
        <f t="shared" si="0"/>
        <v>36.65313653136532</v>
      </c>
      <c r="C46" s="34" t="s">
        <v>111</v>
      </c>
      <c r="D46" s="175"/>
    </row>
    <row r="47" spans="1:7">
      <c r="A47" s="172" t="s">
        <v>74</v>
      </c>
      <c r="B47" s="33">
        <f t="shared" si="0"/>
        <v>1329.9852398523985</v>
      </c>
      <c r="C47" s="34" t="s">
        <v>111</v>
      </c>
      <c r="D47" s="175"/>
    </row>
    <row r="48" spans="1:7">
      <c r="A48" s="172" t="s">
        <v>75</v>
      </c>
      <c r="B48" s="33">
        <f t="shared" si="0"/>
        <v>52.361623616236159</v>
      </c>
      <c r="C48" s="33">
        <f>B48*10</f>
        <v>523.61623616236159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19</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21908.440361714267</v>
      </c>
      <c r="C5" s="17">
        <f>IF(ISERROR('Eigen informatie GS &amp; warmtenet'!B58),0,'Eigen informatie GS &amp; warmtenet'!B58)</f>
        <v>0</v>
      </c>
      <c r="D5" s="30">
        <f>SUM(D6:D12)</f>
        <v>33571.955310205682</v>
      </c>
      <c r="E5" s="17">
        <f>SUM(E6:E12)</f>
        <v>497.209534620515</v>
      </c>
      <c r="F5" s="17">
        <f>SUM(F6:F12)</f>
        <v>4393.7432173309935</v>
      </c>
      <c r="G5" s="18"/>
      <c r="H5" s="17"/>
      <c r="I5" s="17"/>
      <c r="J5" s="17">
        <f>SUM(J6:J12)</f>
        <v>0</v>
      </c>
      <c r="K5" s="17"/>
      <c r="L5" s="17"/>
      <c r="M5" s="17"/>
      <c r="N5" s="17">
        <f>SUM(N6:N12)</f>
        <v>467.27135040943142</v>
      </c>
      <c r="O5" s="17">
        <f>B38*B39*B40</f>
        <v>1.5633333333333335</v>
      </c>
      <c r="P5" s="17">
        <f>B46*B47*B48/1000-B46*B47*B48/1000/B49</f>
        <v>0</v>
      </c>
      <c r="R5" s="32"/>
    </row>
    <row r="6" spans="1:18">
      <c r="A6" s="32" t="s">
        <v>54</v>
      </c>
      <c r="B6" s="37">
        <f>B26</f>
        <v>6452.3884773194795</v>
      </c>
      <c r="C6" s="33"/>
      <c r="D6" s="37">
        <f>IF(ISERROR(TER_kantoor_gas_kWh/1000),0,TER_kantoor_gas_kWh/1000)*0.902</f>
        <v>12452.153801610146</v>
      </c>
      <c r="E6" s="33">
        <f>$C$26*'E Balans VL '!I12/100/3.6*1000000</f>
        <v>225.85897876764375</v>
      </c>
      <c r="F6" s="33">
        <f>$C$26*('E Balans VL '!L12+'E Balans VL '!N12)/100/3.6*1000000</f>
        <v>978.32062458475764</v>
      </c>
      <c r="G6" s="34"/>
      <c r="H6" s="33"/>
      <c r="I6" s="33"/>
      <c r="J6" s="33">
        <f>$C$26*('E Balans VL '!D12+'E Balans VL '!E12)/100/3.6*1000000</f>
        <v>0</v>
      </c>
      <c r="K6" s="33"/>
      <c r="L6" s="33"/>
      <c r="M6" s="33"/>
      <c r="N6" s="33">
        <f>$C$26*'E Balans VL '!Y12/100/3.6*1000000</f>
        <v>49.874943387666477</v>
      </c>
      <c r="O6" s="33"/>
      <c r="P6" s="33"/>
      <c r="R6" s="32"/>
    </row>
    <row r="7" spans="1:18">
      <c r="A7" s="32" t="s">
        <v>53</v>
      </c>
      <c r="B7" s="37">
        <f t="shared" ref="B7:B12" si="0">B27</f>
        <v>2518.0309586634503</v>
      </c>
      <c r="C7" s="33"/>
      <c r="D7" s="37">
        <f>IF(ISERROR(TER_horeca_gas_kWh/1000),0,TER_horeca_gas_kWh/1000)*0.902</f>
        <v>4353.9052954296294</v>
      </c>
      <c r="E7" s="33">
        <f>$C$27*'E Balans VL '!I9/100/3.6*1000000</f>
        <v>142.05042772620357</v>
      </c>
      <c r="F7" s="33">
        <f>$C$27*('E Balans VL '!L9+'E Balans VL '!N9)/100/3.6*1000000</f>
        <v>438.65492796141484</v>
      </c>
      <c r="G7" s="34"/>
      <c r="H7" s="33"/>
      <c r="I7" s="33"/>
      <c r="J7" s="33">
        <f>$C$27*('E Balans VL '!D9+'E Balans VL '!E9)/100/3.6*1000000</f>
        <v>0</v>
      </c>
      <c r="K7" s="33"/>
      <c r="L7" s="33"/>
      <c r="M7" s="33"/>
      <c r="N7" s="33">
        <f>$C$27*'E Balans VL '!Y9/100/3.6*1000000</f>
        <v>0</v>
      </c>
      <c r="O7" s="33"/>
      <c r="P7" s="33"/>
      <c r="R7" s="32"/>
    </row>
    <row r="8" spans="1:18">
      <c r="A8" s="6" t="s">
        <v>52</v>
      </c>
      <c r="B8" s="37">
        <f t="shared" si="0"/>
        <v>5917.1042955385401</v>
      </c>
      <c r="C8" s="33"/>
      <c r="D8" s="37">
        <f>IF(ISERROR(TER_handel_gas_kWh/1000),0,TER_handel_gas_kWh/1000)*0.902</f>
        <v>3755.3881988562457</v>
      </c>
      <c r="E8" s="33">
        <f>$C$28*'E Balans VL '!I13/100/3.6*1000000</f>
        <v>30.37781228421742</v>
      </c>
      <c r="F8" s="33">
        <f>$C$28*('E Balans VL '!L13+'E Balans VL '!N13)/100/3.6*1000000</f>
        <v>912.32605372511659</v>
      </c>
      <c r="G8" s="34"/>
      <c r="H8" s="33"/>
      <c r="I8" s="33"/>
      <c r="J8" s="33">
        <f>$C$28*('E Balans VL '!D13+'E Balans VL '!E13)/100/3.6*1000000</f>
        <v>0</v>
      </c>
      <c r="K8" s="33"/>
      <c r="L8" s="33"/>
      <c r="M8" s="33"/>
      <c r="N8" s="33">
        <f>$C$28*'E Balans VL '!Y13/100/3.6*1000000</f>
        <v>2.7675019070034592</v>
      </c>
      <c r="O8" s="33"/>
      <c r="P8" s="33"/>
      <c r="R8" s="32"/>
    </row>
    <row r="9" spans="1:18">
      <c r="A9" s="32" t="s">
        <v>51</v>
      </c>
      <c r="B9" s="37">
        <f t="shared" si="0"/>
        <v>477.251569951249</v>
      </c>
      <c r="C9" s="33"/>
      <c r="D9" s="37">
        <f>IF(ISERROR(TER_gezond_gas_kWh/1000),0,TER_gezond_gas_kWh/1000)*0.902</f>
        <v>731.51221072681415</v>
      </c>
      <c r="E9" s="33">
        <f>$C$29*'E Balans VL '!I10/100/3.6*1000000</f>
        <v>0.19781737688092607</v>
      </c>
      <c r="F9" s="33">
        <f>$C$29*('E Balans VL '!L10+'E Balans VL '!N10)/100/3.6*1000000</f>
        <v>117.54021697844763</v>
      </c>
      <c r="G9" s="34"/>
      <c r="H9" s="33"/>
      <c r="I9" s="33"/>
      <c r="J9" s="33">
        <f>$C$29*('E Balans VL '!D10+'E Balans VL '!E10)/100/3.6*1000000</f>
        <v>0</v>
      </c>
      <c r="K9" s="33"/>
      <c r="L9" s="33"/>
      <c r="M9" s="33"/>
      <c r="N9" s="33">
        <f>$C$29*'E Balans VL '!Y10/100/3.6*1000000</f>
        <v>4.1246348217271089</v>
      </c>
      <c r="O9" s="33"/>
      <c r="P9" s="33"/>
      <c r="R9" s="32"/>
    </row>
    <row r="10" spans="1:18">
      <c r="A10" s="32" t="s">
        <v>50</v>
      </c>
      <c r="B10" s="37">
        <f t="shared" si="0"/>
        <v>1249.19404092684</v>
      </c>
      <c r="C10" s="33"/>
      <c r="D10" s="37">
        <f>IF(ISERROR(TER_ander_gas_kWh/1000),0,TER_ander_gas_kWh/1000)*0.902</f>
        <v>1731.7888300519571</v>
      </c>
      <c r="E10" s="33">
        <f>$C$30*'E Balans VL '!I14/100/3.6*1000000</f>
        <v>7.6151176944766474</v>
      </c>
      <c r="F10" s="33">
        <f>$C$30*('E Balans VL '!L14+'E Balans VL '!N14)/100/3.6*1000000</f>
        <v>331.17845226696556</v>
      </c>
      <c r="G10" s="34"/>
      <c r="H10" s="33"/>
      <c r="I10" s="33"/>
      <c r="J10" s="33">
        <f>$C$30*('E Balans VL '!D14+'E Balans VL '!E14)/100/3.6*1000000</f>
        <v>0</v>
      </c>
      <c r="K10" s="33"/>
      <c r="L10" s="33"/>
      <c r="M10" s="33"/>
      <c r="N10" s="33">
        <f>$C$30*'E Balans VL '!Y14/100/3.6*1000000</f>
        <v>287.91223333721797</v>
      </c>
      <c r="O10" s="33"/>
      <c r="P10" s="33"/>
      <c r="R10" s="32"/>
    </row>
    <row r="11" spans="1:18">
      <c r="A11" s="32" t="s">
        <v>55</v>
      </c>
      <c r="B11" s="37">
        <f t="shared" si="0"/>
        <v>1084.91281799784</v>
      </c>
      <c r="C11" s="33"/>
      <c r="D11" s="37">
        <f>IF(ISERROR(TER_onderwijs_gas_kWh/1000),0,TER_onderwijs_gas_kWh/1000)*0.902</f>
        <v>4336.9952268504385</v>
      </c>
      <c r="E11" s="33">
        <f>$C$31*'E Balans VL '!I11/100/3.6*1000000</f>
        <v>0.82676005932158769</v>
      </c>
      <c r="F11" s="33">
        <f>$C$31*('E Balans VL '!L11+'E Balans VL '!N11)/100/3.6*1000000</f>
        <v>785.10237079948547</v>
      </c>
      <c r="G11" s="34"/>
      <c r="H11" s="33"/>
      <c r="I11" s="33"/>
      <c r="J11" s="33">
        <f>$C$31*('E Balans VL '!D11+'E Balans VL '!E11)/100/3.6*1000000</f>
        <v>0</v>
      </c>
      <c r="K11" s="33"/>
      <c r="L11" s="33"/>
      <c r="M11" s="33"/>
      <c r="N11" s="33">
        <f>$C$31*'E Balans VL '!Y11/100/3.6*1000000</f>
        <v>3.1974973640783726</v>
      </c>
      <c r="O11" s="33"/>
      <c r="P11" s="33"/>
      <c r="R11" s="32"/>
    </row>
    <row r="12" spans="1:18">
      <c r="A12" s="32" t="s">
        <v>261</v>
      </c>
      <c r="B12" s="37">
        <f t="shared" si="0"/>
        <v>4209.5582013168696</v>
      </c>
      <c r="C12" s="33"/>
      <c r="D12" s="37">
        <f>IF(ISERROR(TER_rest_gas_kWh/1000),0,TER_rest_gas_kWh/1000)*0.902</f>
        <v>6210.2117466804502</v>
      </c>
      <c r="E12" s="33">
        <f>$C$32*'E Balans VL '!I8/100/3.6*1000000</f>
        <v>90.282620711771102</v>
      </c>
      <c r="F12" s="33">
        <f>$C$32*('E Balans VL '!L8+'E Balans VL '!N8)/100/3.6*1000000</f>
        <v>830.62057101480639</v>
      </c>
      <c r="G12" s="34"/>
      <c r="H12" s="33"/>
      <c r="I12" s="33"/>
      <c r="J12" s="33">
        <f>$C$32*('E Balans VL '!D8+'E Balans VL '!E8)/100/3.6*1000000</f>
        <v>0</v>
      </c>
      <c r="K12" s="33"/>
      <c r="L12" s="33"/>
      <c r="M12" s="33"/>
      <c r="N12" s="33">
        <f>$C$32*'E Balans VL '!Y8/100/3.6*1000000</f>
        <v>119.39453959173807</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21908.440361714267</v>
      </c>
      <c r="C16" s="21">
        <f ca="1">C5+C13+C14</f>
        <v>0</v>
      </c>
      <c r="D16" s="21">
        <f t="shared" ref="D16:N16" ca="1" si="1">MAX((D5+D13+D14),0)</f>
        <v>33571.955310205682</v>
      </c>
      <c r="E16" s="21">
        <f t="shared" si="1"/>
        <v>497.209534620515</v>
      </c>
      <c r="F16" s="21">
        <f t="shared" ca="1" si="1"/>
        <v>4393.7432173309935</v>
      </c>
      <c r="G16" s="21">
        <f t="shared" si="1"/>
        <v>0</v>
      </c>
      <c r="H16" s="21">
        <f t="shared" si="1"/>
        <v>0</v>
      </c>
      <c r="I16" s="21">
        <f t="shared" si="1"/>
        <v>0</v>
      </c>
      <c r="J16" s="21">
        <f t="shared" si="1"/>
        <v>0</v>
      </c>
      <c r="K16" s="21">
        <f t="shared" si="1"/>
        <v>0</v>
      </c>
      <c r="L16" s="21">
        <f t="shared" ca="1" si="1"/>
        <v>0</v>
      </c>
      <c r="M16" s="21">
        <f t="shared" si="1"/>
        <v>0</v>
      </c>
      <c r="N16" s="21">
        <f t="shared" ca="1" si="1"/>
        <v>467.27135040943142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0.20611066529378178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4515.5632185020686</v>
      </c>
      <c r="C20" s="23">
        <f t="shared" ref="C20:P20" ca="1" si="2">C16*C18</f>
        <v>0</v>
      </c>
      <c r="D20" s="23">
        <f t="shared" ca="1" si="2"/>
        <v>6781.5349726615477</v>
      </c>
      <c r="E20" s="23">
        <f t="shared" si="2"/>
        <v>112.86656435885691</v>
      </c>
      <c r="F20" s="23">
        <f t="shared" ca="1" si="2"/>
        <v>1173.1294390273754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6452.3884773194795</v>
      </c>
      <c r="C26" s="39">
        <f>IF(ISERROR(B26*3.6/1000000/'E Balans VL '!Z12*100),0,B26*3.6/1000000/'E Balans VL '!Z12*100)</f>
        <v>0.13577981502434985</v>
      </c>
      <c r="D26" s="238" t="s">
        <v>720</v>
      </c>
      <c r="F26" s="6"/>
    </row>
    <row r="27" spans="1:18">
      <c r="A27" s="232" t="s">
        <v>53</v>
      </c>
      <c r="B27" s="33">
        <f>IF(ISERROR(TER_horeca_ele_kWh/1000),0,TER_horeca_ele_kWh/1000)</f>
        <v>2518.0309586634503</v>
      </c>
      <c r="C27" s="39">
        <f>IF(ISERROR(B27*3.6/1000000/'E Balans VL '!Z9*100),0,B27*3.6/1000000/'E Balans VL '!Z9*100)</f>
        <v>0.21319460566856502</v>
      </c>
      <c r="D27" s="238" t="s">
        <v>720</v>
      </c>
      <c r="F27" s="6"/>
    </row>
    <row r="28" spans="1:18">
      <c r="A28" s="172" t="s">
        <v>52</v>
      </c>
      <c r="B28" s="33">
        <f>IF(ISERROR(TER_handel_ele_kWh/1000),0,TER_handel_ele_kWh/1000)</f>
        <v>5917.1042955385401</v>
      </c>
      <c r="C28" s="39">
        <f>IF(ISERROR(B28*3.6/1000000/'E Balans VL '!Z13*100),0,B28*3.6/1000000/'E Balans VL '!Z13*100)</f>
        <v>0.16381421421044914</v>
      </c>
      <c r="D28" s="238" t="s">
        <v>720</v>
      </c>
      <c r="F28" s="6"/>
    </row>
    <row r="29" spans="1:18">
      <c r="A29" s="232" t="s">
        <v>51</v>
      </c>
      <c r="B29" s="33">
        <f>IF(ISERROR(TER_gezond_ele_kWh/1000),0,TER_gezond_ele_kWh/1000)</f>
        <v>477.251569951249</v>
      </c>
      <c r="C29" s="39">
        <f>IF(ISERROR(B29*3.6/1000000/'E Balans VL '!Z10*100),0,B29*3.6/1000000/'E Balans VL '!Z10*100)</f>
        <v>6.2037413143139021E-2</v>
      </c>
      <c r="D29" s="238" t="s">
        <v>720</v>
      </c>
      <c r="F29" s="6"/>
    </row>
    <row r="30" spans="1:18">
      <c r="A30" s="232" t="s">
        <v>50</v>
      </c>
      <c r="B30" s="33">
        <f>IF(ISERROR(TER_ander_ele_kWh/1000),0,TER_ander_ele_kWh/1000)</f>
        <v>1249.19404092684</v>
      </c>
      <c r="C30" s="39">
        <f>IF(ISERROR(B30*3.6/1000000/'E Balans VL '!Z14*100),0,B30*3.6/1000000/'E Balans VL '!Z14*100)</f>
        <v>9.6823994156319731E-2</v>
      </c>
      <c r="D30" s="238" t="s">
        <v>720</v>
      </c>
      <c r="F30" s="6"/>
    </row>
    <row r="31" spans="1:18">
      <c r="A31" s="232" t="s">
        <v>55</v>
      </c>
      <c r="B31" s="33">
        <f>IF(ISERROR(TER_onderwijs_ele_kWh/1000),0,TER_onderwijs_ele_kWh/1000)</f>
        <v>1084.91281799784</v>
      </c>
      <c r="C31" s="39">
        <f>IF(ISERROR(B31*3.6/1000000/'E Balans VL '!Z11*100),0,B31*3.6/1000000/'E Balans VL '!Z11*100)</f>
        <v>0.20756230860619101</v>
      </c>
      <c r="D31" s="238" t="s">
        <v>720</v>
      </c>
    </row>
    <row r="32" spans="1:18">
      <c r="A32" s="232" t="s">
        <v>261</v>
      </c>
      <c r="B32" s="33">
        <f>IF(ISERROR(TER_rest_ele_kWh/1000),0,TER_rest_ele_kWh/1000)</f>
        <v>4209.5582013168696</v>
      </c>
      <c r="C32" s="39">
        <f>IF(ISERROR(B32*3.6/1000000/'E Balans VL '!Z8*100),0,B32*3.6/1000000/'E Balans VL '!Z8*100)</f>
        <v>3.4711039955114764E-2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6072.3352918366782</v>
      </c>
      <c r="C5" s="17">
        <f>IF(ISERROR('Eigen informatie GS &amp; warmtenet'!B59),0,'Eigen informatie GS &amp; warmtenet'!B59)</f>
        <v>0</v>
      </c>
      <c r="D5" s="30">
        <f>SUM(D6:D15)</f>
        <v>4042.9485685833315</v>
      </c>
      <c r="E5" s="17">
        <f>SUM(E6:E15)</f>
        <v>57.349182023329007</v>
      </c>
      <c r="F5" s="17">
        <f>SUM(F6:F15)</f>
        <v>1442.7322788249126</v>
      </c>
      <c r="G5" s="18"/>
      <c r="H5" s="17"/>
      <c r="I5" s="17"/>
      <c r="J5" s="17">
        <f>SUM(J6:J15)</f>
        <v>49.761810702254401</v>
      </c>
      <c r="K5" s="17"/>
      <c r="L5" s="17"/>
      <c r="M5" s="17"/>
      <c r="N5" s="17">
        <f>SUM(N6:N15)</f>
        <v>125.93429160697973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1004.39186852333</v>
      </c>
      <c r="C8" s="33"/>
      <c r="D8" s="37">
        <f>IF( ISERROR(IND_metaal_Gas_kWH/1000),0,IND_metaal_Gas_kWH/1000)*0.902</f>
        <v>217.54624561436441</v>
      </c>
      <c r="E8" s="33">
        <f>C30*'E Balans VL '!I18/100/3.6*1000000</f>
        <v>7.0576400510998916</v>
      </c>
      <c r="F8" s="33">
        <f>C30*'E Balans VL '!L18/100/3.6*1000000+C30*'E Balans VL '!N18/100/3.6*1000000</f>
        <v>110.276350893038</v>
      </c>
      <c r="G8" s="34"/>
      <c r="H8" s="33"/>
      <c r="I8" s="33"/>
      <c r="J8" s="40">
        <f>C30*'E Balans VL '!D18/100/3.6*1000000+C30*'E Balans VL '!E18/100/3.6*1000000</f>
        <v>20.722769105605988</v>
      </c>
      <c r="K8" s="33"/>
      <c r="L8" s="33"/>
      <c r="M8" s="33"/>
      <c r="N8" s="33">
        <f>C30*'E Balans VL '!Y18/100/3.6*1000000</f>
        <v>3.7645330594502222</v>
      </c>
      <c r="O8" s="33"/>
      <c r="P8" s="33"/>
      <c r="R8" s="32"/>
    </row>
    <row r="9" spans="1:18">
      <c r="A9" s="6" t="s">
        <v>33</v>
      </c>
      <c r="B9" s="37">
        <f t="shared" si="0"/>
        <v>580.07102983956293</v>
      </c>
      <c r="C9" s="33"/>
      <c r="D9" s="37">
        <f>IF( ISERROR(IND_andere_gas_kWh/1000),0,IND_andere_gas_kWh/1000)*0.902</f>
        <v>704.46357439489702</v>
      </c>
      <c r="E9" s="33">
        <f>C31*'E Balans VL '!I19/100/3.6*1000000</f>
        <v>9.7430035558555179</v>
      </c>
      <c r="F9" s="33">
        <f>C31*'E Balans VL '!L19/100/3.6*1000000+C31*'E Balans VL '!N19/100/3.6*1000000</f>
        <v>453.46649274960629</v>
      </c>
      <c r="G9" s="34"/>
      <c r="H9" s="33"/>
      <c r="I9" s="33"/>
      <c r="J9" s="40">
        <f>C31*'E Balans VL '!D19/100/3.6*1000000+C31*'E Balans VL '!E19/100/3.6*1000000</f>
        <v>5.2317286381270894E-2</v>
      </c>
      <c r="K9" s="33"/>
      <c r="L9" s="33"/>
      <c r="M9" s="33"/>
      <c r="N9" s="33">
        <f>C31*'E Balans VL '!Y19/100/3.6*1000000</f>
        <v>42.99256973147358</v>
      </c>
      <c r="O9" s="33"/>
      <c r="P9" s="33"/>
      <c r="R9" s="32"/>
    </row>
    <row r="10" spans="1:18">
      <c r="A10" s="6" t="s">
        <v>41</v>
      </c>
      <c r="B10" s="37">
        <f t="shared" si="0"/>
        <v>471.06851730645502</v>
      </c>
      <c r="C10" s="33"/>
      <c r="D10" s="37">
        <f>IF( ISERROR(IND_voed_gas_kWh/1000),0,IND_voed_gas_kWh/1000)*0.902</f>
        <v>457.57467279647562</v>
      </c>
      <c r="E10" s="33">
        <f>C32*'E Balans VL '!I20/100/3.6*1000000</f>
        <v>4.2978333993911404</v>
      </c>
      <c r="F10" s="33">
        <f>C32*'E Balans VL '!L20/100/3.6*1000000+C32*'E Balans VL '!N20/100/3.6*1000000</f>
        <v>75.998086002479425</v>
      </c>
      <c r="G10" s="34"/>
      <c r="H10" s="33"/>
      <c r="I10" s="33"/>
      <c r="J10" s="40">
        <f>C32*'E Balans VL '!D20/100/3.6*1000000+C32*'E Balans VL '!E20/100/3.6*1000000</f>
        <v>1.9401690017377149</v>
      </c>
      <c r="K10" s="33"/>
      <c r="L10" s="33"/>
      <c r="M10" s="33"/>
      <c r="N10" s="33">
        <f>C32*'E Balans VL '!Y20/100/3.6*1000000</f>
        <v>6.8913609602424586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4016.8038761673301</v>
      </c>
      <c r="C15" s="33"/>
      <c r="D15" s="37">
        <f>IF( ISERROR(IND_rest_gas_kWh/1000),0,IND_rest_gas_kWh/1000)*0.902</f>
        <v>2663.3640757775943</v>
      </c>
      <c r="E15" s="33">
        <f>C37*'E Balans VL '!I15/100/3.6*1000000</f>
        <v>36.250705016982451</v>
      </c>
      <c r="F15" s="33">
        <f>C37*'E Balans VL '!L15/100/3.6*1000000+C37*'E Balans VL '!N15/100/3.6*1000000</f>
        <v>802.99134917978893</v>
      </c>
      <c r="G15" s="34"/>
      <c r="H15" s="33"/>
      <c r="I15" s="33"/>
      <c r="J15" s="40">
        <f>C37*'E Balans VL '!D15/100/3.6*1000000+C37*'E Balans VL '!E15/100/3.6*1000000</f>
        <v>27.046555308529427</v>
      </c>
      <c r="K15" s="33"/>
      <c r="L15" s="33"/>
      <c r="M15" s="33"/>
      <c r="N15" s="33">
        <f>C37*'E Balans VL '!Y15/100/3.6*1000000</f>
        <v>72.285827855813466</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6072.3352918366782</v>
      </c>
      <c r="C18" s="21">
        <f>C5+C16</f>
        <v>0</v>
      </c>
      <c r="D18" s="21">
        <f>MAX((D5+D16),0)</f>
        <v>4042.9485685833315</v>
      </c>
      <c r="E18" s="21">
        <f>MAX((E5+E16),0)</f>
        <v>57.349182023329007</v>
      </c>
      <c r="F18" s="21">
        <f>MAX((F5+F16),0)</f>
        <v>1442.7322788249126</v>
      </c>
      <c r="G18" s="21"/>
      <c r="H18" s="21"/>
      <c r="I18" s="21"/>
      <c r="J18" s="21">
        <f>MAX((J5+J16),0)</f>
        <v>49.761810702254401</v>
      </c>
      <c r="K18" s="21"/>
      <c r="L18" s="21">
        <f>MAX((L5+L16),0)</f>
        <v>0</v>
      </c>
      <c r="M18" s="21"/>
      <c r="N18" s="21">
        <f>MAX((N5+N16),0)</f>
        <v>125.93429160697973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0.20611066529378178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1251.5730668873682</v>
      </c>
      <c r="C22" s="23">
        <f ca="1">C18*C20</f>
        <v>0</v>
      </c>
      <c r="D22" s="23">
        <f>D18*D20</f>
        <v>816.67561085383306</v>
      </c>
      <c r="E22" s="23">
        <f>E18*E20</f>
        <v>13.018264319295685</v>
      </c>
      <c r="F22" s="23">
        <f>F18*F20</f>
        <v>385.20951844625165</v>
      </c>
      <c r="G22" s="23"/>
      <c r="H22" s="23"/>
      <c r="I22" s="23"/>
      <c r="J22" s="23">
        <f>J18*J20</f>
        <v>17.615680988598058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1004.39186852333</v>
      </c>
      <c r="C30" s="39">
        <f>IF(ISERROR(B30*3.6/1000000/'E Balans VL '!Z18*100),0,B30*3.6/1000000/'E Balans VL '!Z18*100)</f>
        <v>6.6862980020669219E-2</v>
      </c>
      <c r="D30" s="238" t="s">
        <v>720</v>
      </c>
    </row>
    <row r="31" spans="1:18">
      <c r="A31" s="6" t="s">
        <v>33</v>
      </c>
      <c r="B31" s="37">
        <f>IF( ISERROR(IND_ander_ele_kWh/1000),0,IND_ander_ele_kWh/1000)</f>
        <v>580.07102983956293</v>
      </c>
      <c r="C31" s="39">
        <f>IF(ISERROR(B31*3.6/1000000/'E Balans VL '!Z19*100),0,B31*3.6/1000000/'E Balans VL '!Z19*100)</f>
        <v>2.5712249962126309E-2</v>
      </c>
      <c r="D31" s="238" t="s">
        <v>720</v>
      </c>
    </row>
    <row r="32" spans="1:18">
      <c r="A32" s="172" t="s">
        <v>41</v>
      </c>
      <c r="B32" s="37">
        <f>IF( ISERROR(IND_voed_ele_kWh/1000),0,IND_voed_ele_kWh/1000)</f>
        <v>471.06851730645502</v>
      </c>
      <c r="C32" s="39">
        <f>IF(ISERROR(B32*3.6/1000000/'E Balans VL '!Z20*100),0,B32*3.6/1000000/'E Balans VL '!Z20*100)</f>
        <v>1.5735039798716675E-2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4016.8038761673301</v>
      </c>
      <c r="C37" s="39">
        <f>IF(ISERROR(B37*3.6/1000000/'E Balans VL '!Z15*100),0,B37*3.6/1000000/'E Balans VL '!Z15*100)</f>
        <v>2.9878476905407556E-2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9.8531119521625001</v>
      </c>
      <c r="C5" s="17">
        <f>'Eigen informatie GS &amp; warmtenet'!B60</f>
        <v>0</v>
      </c>
      <c r="D5" s="30">
        <f>IF(ISERROR(SUM(LB_lb_gas_kWh,LB_rest_gas_kWh,onbekend_gas_kWh)/1000),0,SUM(LB_lb_gas_kWh,LB_rest_gas_kWh,onbekend_gas_kWh)/1000)*0.902</f>
        <v>3167.1266273162514</v>
      </c>
      <c r="E5" s="17">
        <f>B17*'E Balans VL '!I25/3.6*1000000/100</f>
        <v>0.10318392147479556</v>
      </c>
      <c r="F5" s="17">
        <f>B17*('E Balans VL '!L25/3.6*1000000+'E Balans VL '!N25/3.6*1000000)/100</f>
        <v>50.607151840839812</v>
      </c>
      <c r="G5" s="18"/>
      <c r="H5" s="17"/>
      <c r="I5" s="17"/>
      <c r="J5" s="17">
        <f>('E Balans VL '!D25+'E Balans VL '!E25)/3.6*1000000*landbouw!B17/100</f>
        <v>0.87997121227716169</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9.8531119521625001</v>
      </c>
      <c r="C8" s="21">
        <f>C5+C6</f>
        <v>0</v>
      </c>
      <c r="D8" s="21">
        <f>MAX((D5+D6),0)</f>
        <v>3167.1266273162514</v>
      </c>
      <c r="E8" s="21">
        <f>MAX((E5+E6),0)</f>
        <v>0.10318392147479556</v>
      </c>
      <c r="F8" s="21">
        <f>MAX((F5+F6),0)</f>
        <v>50.607151840839812</v>
      </c>
      <c r="G8" s="21"/>
      <c r="H8" s="21"/>
      <c r="I8" s="21"/>
      <c r="J8" s="21">
        <f>MAX((J5+J6),0)</f>
        <v>0.87997121227716169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0.20611066529378178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2.0308314596743258</v>
      </c>
      <c r="C12" s="23">
        <f ca="1">C8*C10</f>
        <v>0</v>
      </c>
      <c r="D12" s="23">
        <f>D8*D10</f>
        <v>639.75957871788285</v>
      </c>
      <c r="E12" s="23">
        <f>E8*E10</f>
        <v>2.3422750174778594E-2</v>
      </c>
      <c r="F12" s="23">
        <f>F8*F10</f>
        <v>13.51210954150423</v>
      </c>
      <c r="G12" s="23"/>
      <c r="H12" s="23"/>
      <c r="I12" s="23"/>
      <c r="J12" s="23">
        <f>J8*J10</f>
        <v>0.3115098091461152</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1.5165841296471872E-3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8">
        <f>B26*'GWP N2O_CH4'!B5</f>
        <v>0</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8">
        <f>B27*'GWP N2O_CH4'!B5</f>
        <v>0</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8">
        <f>B28*'GWP N2O_CH4'!B4</f>
        <v>0</v>
      </c>
      <c r="D28" s="50"/>
    </row>
    <row r="29" spans="1:4">
      <c r="A29" s="41" t="s">
        <v>278</v>
      </c>
      <c r="B29" s="248">
        <f>B34*'ha_N2O bodem landbouw'!B4</f>
        <v>0.53982374194853</v>
      </c>
      <c r="C29" s="248">
        <f>B29*'GWP N2O_CH4'!B4</f>
        <v>167.3453600040443</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8.9212963238311608E-5</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3.9680915761098078E-6</v>
      </c>
      <c r="C5" s="446" t="s">
        <v>212</v>
      </c>
      <c r="D5" s="431">
        <f>SUM(D6:D11)</f>
        <v>1.8768668992016292E-5</v>
      </c>
      <c r="E5" s="431">
        <f>SUM(E6:E11)</f>
        <v>2.0655568362389545E-3</v>
      </c>
      <c r="F5" s="444" t="s">
        <v>212</v>
      </c>
      <c r="G5" s="431">
        <f>SUM(G6:G11)</f>
        <v>0.36024740931973109</v>
      </c>
      <c r="H5" s="431">
        <f>SUM(H6:H11)</f>
        <v>6.3782369968794758E-2</v>
      </c>
      <c r="I5" s="446" t="s">
        <v>212</v>
      </c>
      <c r="J5" s="446" t="s">
        <v>212</v>
      </c>
      <c r="K5" s="446" t="s">
        <v>212</v>
      </c>
      <c r="L5" s="446" t="s">
        <v>212</v>
      </c>
      <c r="M5" s="431">
        <f>SUM(M6:M11)</f>
        <v>1.8507207978999286E-2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2.3173001519603762E-6</v>
      </c>
      <c r="C6" s="432"/>
      <c r="D6" s="432">
        <f>vkm_2011_GW_PW*SUMIFS(TableVerdeelsleutelVkm[CNG],TableVerdeelsleutelVkm[Voertuigtype],"Lichte voertuigen")*SUMIFS(TableECFTransport[EnergieConsumptieFactor (PJ per km)],TableECFTransport[Index],CONCATENATE($A6,"_CNG_CNG"))</f>
        <v>9.9896115924289211E-6</v>
      </c>
      <c r="E6" s="434">
        <f>vkm_2011_GW_PW*SUMIFS(TableVerdeelsleutelVkm[LPG],TableVerdeelsleutelVkm[Voertuigtype],"Lichte voertuigen")*SUMIFS(TableECFTransport[EnergieConsumptieFactor (PJ per km)],TableECFTransport[Index],CONCATENATE($A6,"_LPG_LPG"))</f>
        <v>1.0393577912219641E-3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0.12784386164730141</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3.365863946082346E-2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7.0778138712201495E-3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6.5646624375030091E-2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2.2509317790433346E-5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2.8358111725568119E-3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4.302989953641304E-7</v>
      </c>
      <c r="C8" s="432"/>
      <c r="D8" s="434">
        <f>vkm_2011_NGW_PW*SUMIFS(TableVerdeelsleutelVkm[CNG],TableVerdeelsleutelVkm[Voertuigtype],"Lichte voertuigen")*SUMIFS(TableECFTransport[EnergieConsumptieFactor (PJ per km)],TableECFTransport[Index],CONCATENATE($A8,"_CNG_CNG"))</f>
        <v>3.3278594797767851E-6</v>
      </c>
      <c r="E8" s="434">
        <f>vkm_2011_NGW_PW*SUMIFS(TableVerdeelsleutelVkm[LPG],TableVerdeelsleutelVkm[Voertuigtype],"Lichte voertuigen")*SUMIFS(TableECFTransport[EnergieConsumptieFactor (PJ per km)],TableECFTransport[Index],CONCATENATE($A8,"_LPG_LPG"))</f>
        <v>3.161458679849736E-4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3.6883253536575712E-2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1.0703354227153768E-2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2.0878961111904727E-3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1.0676685371202388E-2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3.1803040840372549E-6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4.6119056906802534E-4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1.2204924287853013E-6</v>
      </c>
      <c r="C10" s="432"/>
      <c r="D10" s="434">
        <f>vkm_2011_SW_PW*SUMIFS(TableVerdeelsleutelVkm[CNG],TableVerdeelsleutelVkm[Voertuigtype],"Lichte voertuigen")*SUMIFS(TableECFTransport[EnergieConsumptieFactor (PJ per km)],TableECFTransport[Index],CONCATENATE($A10,"_CNG_CNG"))</f>
        <v>5.4511979198105853E-6</v>
      </c>
      <c r="E10" s="434">
        <f>vkm_2011_SW_PW*SUMIFS(TableVerdeelsleutelVkm[LPG],TableVerdeelsleutelVkm[Voertuigtype],"Lichte voertuigen")*SUMIFS(TableECFTransport[EnergieConsumptieFactor (PJ per km)],TableECFTransport[Index],CONCATENATE($A10,"_LPG_LPG"))</f>
        <v>7.1005317703201653E-4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8.0293807645148485E-2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1.9380454103431734E-2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4.3639105875767472E-3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3.8903176744473036E-2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1.4232555511327166E-5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1.6805856673870764E-3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1.1022476600305022</v>
      </c>
      <c r="C14" s="21"/>
      <c r="D14" s="21">
        <f t="shared" ref="D14:M14" si="0">((D5)*10^9/3600)+D12</f>
        <v>5.2135191644489698</v>
      </c>
      <c r="E14" s="21">
        <f t="shared" si="0"/>
        <v>573.76578784415403</v>
      </c>
      <c r="F14" s="21"/>
      <c r="G14" s="21">
        <f t="shared" si="0"/>
        <v>100068.72481103642</v>
      </c>
      <c r="H14" s="21">
        <f t="shared" si="0"/>
        <v>17717.324991331876</v>
      </c>
      <c r="I14" s="21"/>
      <c r="J14" s="21"/>
      <c r="K14" s="21"/>
      <c r="L14" s="21"/>
      <c r="M14" s="21">
        <f t="shared" si="0"/>
        <v>5140.8911052775793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0.20611066529378178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0.22718499852740101</v>
      </c>
      <c r="C18" s="23"/>
      <c r="D18" s="23">
        <f t="shared" ref="D18:M18" si="1">D14*D16</f>
        <v>1.053130871218692</v>
      </c>
      <c r="E18" s="23">
        <f t="shared" si="1"/>
        <v>130.24483384062296</v>
      </c>
      <c r="F18" s="23"/>
      <c r="G18" s="23">
        <f t="shared" si="1"/>
        <v>26718.349524546724</v>
      </c>
      <c r="H18" s="23">
        <f t="shared" si="1"/>
        <v>4411.6139228416368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8.1169065350506202E-3</v>
      </c>
      <c r="H50" s="322">
        <f t="shared" si="2"/>
        <v>0</v>
      </c>
      <c r="I50" s="322">
        <f t="shared" si="2"/>
        <v>0</v>
      </c>
      <c r="J50" s="322">
        <f t="shared" si="2"/>
        <v>0</v>
      </c>
      <c r="K50" s="322">
        <f t="shared" si="2"/>
        <v>0</v>
      </c>
      <c r="L50" s="322">
        <f t="shared" si="2"/>
        <v>0</v>
      </c>
      <c r="M50" s="322">
        <f t="shared" si="2"/>
        <v>3.4598846187897157E-4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8.1169065350506202E-3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3.4598846187897157E-4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2254.6962597362835</v>
      </c>
      <c r="H54" s="21">
        <f t="shared" si="3"/>
        <v>0</v>
      </c>
      <c r="I54" s="21">
        <f t="shared" si="3"/>
        <v>0</v>
      </c>
      <c r="J54" s="21">
        <f t="shared" si="3"/>
        <v>0</v>
      </c>
      <c r="K54" s="21">
        <f t="shared" si="3"/>
        <v>0</v>
      </c>
      <c r="L54" s="21">
        <f t="shared" si="3"/>
        <v>0</v>
      </c>
      <c r="M54" s="21">
        <f t="shared" si="3"/>
        <v>96.107906077492089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0.20611066529378178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602.00390134958775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3824.6050140255707</v>
      </c>
      <c r="C6" s="1181"/>
      <c r="D6" s="1184"/>
      <c r="E6" s="1184"/>
      <c r="F6" s="1187"/>
      <c r="G6" s="1190"/>
      <c r="H6" s="1178"/>
      <c r="I6" s="1184"/>
      <c r="J6" s="1184"/>
      <c r="K6" s="1184"/>
      <c r="L6" s="1214"/>
      <c r="M6" s="559"/>
      <c r="N6" s="1226"/>
      <c r="O6" s="1227"/>
      <c r="Q6" s="557"/>
      <c r="R6" s="1211"/>
      <c r="S6" s="1211"/>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226"/>
      <c r="O7" s="1227"/>
      <c r="Q7" s="557"/>
      <c r="R7" s="1211"/>
      <c r="S7" s="1211"/>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3824.6050140255707</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2018-12-05T15:54:26Z</dcterms:modified>
</cp:coreProperties>
</file>