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13" i="14"/>
  <c r="P15" s="1"/>
  <c r="P23" s="1"/>
  <c r="P55" s="1"/>
  <c r="P31" i="48"/>
  <c r="I14"/>
  <c r="E7"/>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9" i="20"/>
  <c r="C17" i="49"/>
  <c r="F22" i="16"/>
  <c r="G39" i="14" s="1"/>
  <c r="G41" s="1"/>
  <c r="F8" i="48"/>
  <c r="Q4"/>
  <c r="N22"/>
  <c r="R11" i="14"/>
  <c r="J21" i="48"/>
  <c r="R10" i="14"/>
  <c r="O13" l="1"/>
  <c r="O15" s="1"/>
  <c r="C10" i="17"/>
  <c r="C12" s="1"/>
  <c r="D48" i="14" s="1"/>
  <c r="C20" i="16"/>
  <c r="C22" s="1"/>
  <c r="D39" i="14" s="1"/>
  <c r="C56" i="22"/>
  <c r="C58" s="1"/>
  <c r="D44" i="14" s="1"/>
  <c r="D46" s="1"/>
  <c r="Q5" i="48"/>
  <c r="C16" i="22"/>
  <c r="C10" i="13"/>
  <c r="C16" i="48" s="1"/>
  <c r="C30" s="1"/>
  <c r="C18" i="15"/>
  <c r="C20" s="1"/>
  <c r="D36" i="14"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F25"/>
  <c r="F31" s="1"/>
  <c r="F14"/>
  <c r="D41" i="14" l="1"/>
  <c r="D53" s="1"/>
  <c r="D55" s="1"/>
  <c r="R13"/>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<sst xmlns="http://schemas.openxmlformats.org/spreadsheetml/2006/main" count="1931" uniqueCount="819">
  <si>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</si>
  <si>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</si>
  <si>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</si>
  <si>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</si>
  <si>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</si>
  <si>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</si>
  <si>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</si>
  <si>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</si>
  <si>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</si>
  <si>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</si>
  <si>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</si>
  <si>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</si>
  <si>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</si>
  <si>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</si>
  <si>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</si>
  <si>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</si>
  <si>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</si>
  <si>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</si>
  <si>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</si>
  <si>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</si>
  <si>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</si>
  <si>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</si>
  <si>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</si>
  <si>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</si>
  <si>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</si>
  <si>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</si>
  <si>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</si>
  <si>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</si>
  <si>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</si>
  <si>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</si>
  <si>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</si>
  <si>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</si>
  <si>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</si>
  <si>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</si>
  <si>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</si>
  <si>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</si>
  <si>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</si>
  <si>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</si>
  <si>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</si>
  <si>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</si>
  <si>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</si>
  <si>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</si>
  <si>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</si>
  <si>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</si>
  <si>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</si>
  <si>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</si>
  <si>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</si>
  <si>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</si>
  <si>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</si>
  <si>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</si>
  <si>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</si>
  <si>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</si>
  <si>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</si>
  <si>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</si>
  <si>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</si>
  <si>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</si>
  <si>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</si>
  <si>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</si>
  <si>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</si>
  <si>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</si>
  <si>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</si>
  <si>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</si>
  <si>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</si>
  <si>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</si>
  <si>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</si>
  <si>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</si>
  <si>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</si>
  <si>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</si>
  <si>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</si>
  <si>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</si>
  <si>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</si>
  <si>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</si>
  <si>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</si>
  <si>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</si>
  <si>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</si>
  <si>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</si>
  <si>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</si>
  <si>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</si>
  <si>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</si>
  <si>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</si>
  <si>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</si>
  <si>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</si>
  <si>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</si>
  <si>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</si>
  <si>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</si>
  <si>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</si>
  <si>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</si>
  <si>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</si>
  <si>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</si>
  <si>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</si>
  <si>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</si>
  <si>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</si>
  <si>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</si>
  <si>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</si>
  <si>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</si>
  <si>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</si>
  <si>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</si>
  <si>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</si>
  <si>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</si>
  <si>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</si>
  <si>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</si>
  <si>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</si>
  <si>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</si>
  <si>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</si>
  <si>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</si>
  <si>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</si>
  <si>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</si>
  <si>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</si>
  <si>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</si>
  <si>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</si>
  <si>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</si>
  <si>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</si>
  <si>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</si>
  <si>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</si>
  <si>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</si>
  <si>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</si>
  <si>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</si>
  <si>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</si>
  <si>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</si>
  <si>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</si>
  <si>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</si>
  <si>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</si>
  <si>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</si>
  <si>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</si>
  <si>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</si>
  <si>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</si>
  <si>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</si>
  <si>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</si>
  <si>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</si>
  <si>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</si>
  <si>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</si>
  <si>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</si>
  <si>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</si>
  <si>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</si>
  <si>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</si>
  <si>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</si>
  <si>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</si>
  <si>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</si>
  <si>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</si>
  <si>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</si>
  <si>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</si>
  <si>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</si>
  <si>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</si>
  <si>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</si>
  <si>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</si>
  <si>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</si>
  <si>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</si>
  <si>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</si>
  <si>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</si>
  <si>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</si>
  <si>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</si>
  <si>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</si>
  <si>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</si>
  <si>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</si>
  <si>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</si>
  <si>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</si>
  <si>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</si>
  <si>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</si>
  <si>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</si>
  <si>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</si>
  <si>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</si>
  <si>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</si>
  <si>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</si>
  <si>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</si>
  <si>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</si>
  <si>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</si>
  <si>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</si>
  <si>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</si>
  <si>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</si>
  <si>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</si>
  <si>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</si>
  <si>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</si>
  <si>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</si>
  <si>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</si>
  <si>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</si>
  <si>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</si>
  <si>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</si>
  <si>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</si>
  <si>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</si>
  <si>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</si>
  <si>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</si>
  <si>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</si>
  <si>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</si>
  <si>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</si>
  <si>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</si>
  <si>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</si>
  <si>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</si>
  <si>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</si>
  <si>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</si>
  <si>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</si>
  <si>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</si>
  <si>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</si>
  <si>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</si>
  <si>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</si>
  <si>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</si>
  <si>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</si>
  <si>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</si>
  <si>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</si>
  <si>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</si>
  <si>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</si>
  <si>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</si>
  <si>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</si>
  <si>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</si>
  <si>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</si>
  <si>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</si>
  <si>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</si>
  <si>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</si>
  <si>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</si>
  <si>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</si>
  <si>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</si>
  <si>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</si>
  <si>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</si>
  <si>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</si>
  <si>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</si>
  <si>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</si>
  <si>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</si>
  <si>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</si>
  <si>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</si>
  <si>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</si>
  <si>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</si>
  <si>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</si>
  <si>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</si>
  <si>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</si>
  <si>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</si>
  <si>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</si>
  <si>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</si>
  <si>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</si>
  <si>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</si>
  <si>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</si>
  <si>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</si>
  <si>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</si>
  <si>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</si>
  <si>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</si>
  <si>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</si>
  <si>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</si>
  <si>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</si>
  <si>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</si>
  <si>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</si>
  <si>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</si>
  <si>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</si>
  <si>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</si>
  <si>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</si>
  <si>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</si>
  <si>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</si>
  <si>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</si>
  <si>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</si>
  <si>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</si>
  <si>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</si>
  <si>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</si>
  <si>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</si>
  <si>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</si>
  <si>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</si>
  <si>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</si>
  <si>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</si>
  <si>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</si>
  <si>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</si>
  <si>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</si>
  <si>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</si>
  <si>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</si>
  <si>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</si>
  <si>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</si>
  <si>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</si>
  <si>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</si>
  <si>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</si>
  <si>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</si>
  <si>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</si>
  <si>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</si>
  <si>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</si>
  <si>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</si>
  <si>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</si>
  <si>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</si>
  <si>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</si>
  <si>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</si>
  <si>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</si>
  <si>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</si>
  <si>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</si>
  <si>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</si>
  <si>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</si>
  <si>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</si>
  <si>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</si>
  <si>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</si>
  <si>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</si>
  <si>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</si>
  <si>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</si>
  <si>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</si>
  <si>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</si>
  <si>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</si>
  <si>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</si>
  <si>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</si>
  <si>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</si>
  <si>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</si>
  <si>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</si>
  <si>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</si>
  <si>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</si>
  <si>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</si>
  <si>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</si>
  <si>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</si>
  <si>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</si>
  <si>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</si>
  <si>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</si>
  <si>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</si>
  <si>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</si>
  <si>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</si>
  <si>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</si>
  <si>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</si>
  <si>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</si>
  <si>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</si>
  <si>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</si>
  <si>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</si>
  <si>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</si>
  <si>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</si>
  <si>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</si>
  <si>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</si>
  <si>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</si>
  <si>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</si>
  <si>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</si>
  <si>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</si>
  <si>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</si>
  <si>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</si>
  <si>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</si>
  <si>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</si>
  <si>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</si>
  <si>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</si>
  <si>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</si>
  <si>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</si>
  <si>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</si>
  <si>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</si>
  <si>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</si>
  <si>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</si>
  <si>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</si>
  <si>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</si>
  <si>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</si>
  <si>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</si>
  <si>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</si>
  <si>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</si>
  <si>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</si>
  <si>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</si>
  <si>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</si>
  <si>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</si>
  <si>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</si>
  <si>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</si>
  <si>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</si>
  <si>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</si>
  <si>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</si>
  <si>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</si>
  <si>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</si>
  <si>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</si>
  <si>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</si>
  <si>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</si>
  <si>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</si>
  <si>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</si>
  <si>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</si>
  <si>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</si>
  <si>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</si>
  <si>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</si>
  <si>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</si>
  <si>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</si>
  <si>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</si>
  <si>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</si>
  <si>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</si>
  <si>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</si>
  <si>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</si>
  <si>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</si>
  <si>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</si>
  <si>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</si>
  <si>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</si>
  <si>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</si>
  <si>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</si>
  <si>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</si>
  <si>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</si>
  <si>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</si>
  <si>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</si>
  <si>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</si>
  <si>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</si>
  <si>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</si>
  <si>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</si>
  <si>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</si>
  <si>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</si>
  <si>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</si>
  <si>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</si>
  <si>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</si>
  <si>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</si>
  <si>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</si>
  <si>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</si>
  <si>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</si>
  <si>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</si>
  <si>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</si>
  <si>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</si>
  <si>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</si>
  <si>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</si>
  <si>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</si>
  <si>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</si>
  <si>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</si>
  <si>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</si>
  <si>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</si>
  <si>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</si>
  <si>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</si>
  <si>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</si>
  <si>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</si>
  <si>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</si>
  <si>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</si>
  <si>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</si>
  <si>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</si>
  <si>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</si>
  <si>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</si>
  <si>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</si>
  <si>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</si>
  <si>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</si>
  <si>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</si>
  <si>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</si>
  <si>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</si>
  <si>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</si>
  <si>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</si>
  <si>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</si>
  <si>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</si>
  <si>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</si>
  <si>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</si>
  <si>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</si>
  <si>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</si>
  <si>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</si>
  <si>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</si>
  <si>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</si>
  <si>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</si>
  <si>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</si>
  <si>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</si>
  <si>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</si>
  <si>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</si>
  <si>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</si>
  <si>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</si>
  <si>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</si>
  <si>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</si>
  <si>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</si>
  <si>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</si>
  <si>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</si>
  <si>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</si>
  <si>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</si>
  <si>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</si>
  <si>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</si>
  <si>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</si>
  <si>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</si>
  <si>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</si>
  <si>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</si>
  <si>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</si>
  <si>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</si>
  <si>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</si>
  <si>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</si>
  <si>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</si>
  <si>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</si>
  <si>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</si>
  <si>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</si>
  <si>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</si>
  <si>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</si>
  <si>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</si>
  <si>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</si>
  <si>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</si>
  <si>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</si>
  <si>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</si>
  <si>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</si>
  <si>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</si>
  <si>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</si>
  <si>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</si>
  <si>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</si>
  <si>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</si>
  <si>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</si>
  <si>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</si>
  <si>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</si>
  <si>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</si>
  <si>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</si>
  <si>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</si>
  <si>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</si>
  <si>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</si>
  <si>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</si>
  <si>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</si>
  <si>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</si>
  <si>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</si>
  <si>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</si>
  <si>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</si>
  <si>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</si>
  <si>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</si>
  <si>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</si>
  <si>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</si>
  <si>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</si>
  <si>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</si>
  <si>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</si>
  <si>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</si>
  <si>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</si>
  <si>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</si>
  <si>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</si>
  <si>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</si>
  <si>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</si>
  <si>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</si>
  <si>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</si>
  <si>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</si>
  <si>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</si>
  <si>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</si>
  <si>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</si>
  <si>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</si>
  <si>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</si>
  <si>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</si>
  <si>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</si>
  <si>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</si>
  <si>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</si>
  <si>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</si>
  <si>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</si>
  <si>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</si>
  <si>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</si>
  <si>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</si>
  <si>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</si>
  <si>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</si>
  <si>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</si>
  <si>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</si>
  <si>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</si>
  <si>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</si>
  <si>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</si>
  <si>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</si>
  <si>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</si>
  <si>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</si>
  <si>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</si>
  <si>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</si>
  <si>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</si>
  <si>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</si>
  <si>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</si>
  <si>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</si>
  <si>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</si>
  <si>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</si>
  <si>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</si>
  <si>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</si>
  <si>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</si>
  <si>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</si>
  <si>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</si>
  <si>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</si>
  <si>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</si>
  <si>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</si>
  <si>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</si>
  <si>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</si>
  <si>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</si>
  <si>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</si>
  <si>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</si>
  <si>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</si>
  <si>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</si>
  <si>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</si>
  <si>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</si>
  <si>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</si>
  <si>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</si>
  <si>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</si>
  <si>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</si>
  <si>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</si>
  <si>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</si>
  <si>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</si>
  <si>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</si>
  <si>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</si>
  <si>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</si>
  <si>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</si>
  <si>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</si>
  <si>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</si>
  <si>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</si>
  <si>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</si>
  <si>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</si>
  <si>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</si>
  <si>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</si>
  <si>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</si>
  <si>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</si>
  <si>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</si>
  <si>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</si>
  <si>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</si>
  <si>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</si>
  <si>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</si>
  <si>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</si>
  <si>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</si>
  <si>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</si>
  <si>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</si>
  <si>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</si>
  <si>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</si>
  <si>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</si>
  <si>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</si>
  <si>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</si>
  <si>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</si>
  <si>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</si>
  <si>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</si>
  <si>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</si>
  <si>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</si>
  <si>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</si>
  <si>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</si>
  <si>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</si>
  <si>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</si>
  <si>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</si>
  <si>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</si>
  <si>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</si>
  <si>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</si>
  <si>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</si>
  <si>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</si>
  <si>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</si>
  <si>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</si>
  <si>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</si>
  <si>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</si>
  <si>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</si>
  <si>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</si>
  <si>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</si>
  <si>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</si>
  <si>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</si>
  <si>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</si>
  <si>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</si>
  <si>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</si>
  <si>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</si>
  <si>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</si>
  <si>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</si>
  <si>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</si>
  <si>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</si>
  <si>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</si>
  <si>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</si>
  <si>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</si>
  <si>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</si>
  <si>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</si>
  <si>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</si>
  <si>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</si>
  <si>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</si>
  <si>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</si>
  <si>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</si>
  <si>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</si>
  <si>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</si>
  <si>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</si>
  <si>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</si>
  <si>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</si>
  <si>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</si>
  <si>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</si>
  <si>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</si>
  <si>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</si>
  <si>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</si>
  <si>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</si>
  <si>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</si>
  <si>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</si>
  <si>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</si>
  <si>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</si>
  <si>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</si>
  <si>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</si>
  <si>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</si>
  <si>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</si>
  <si>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</si>
  <si>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</si>
  <si>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</si>
  <si>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</si>
  <si>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</si>
  <si>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</si>
  <si>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</si>
  <si>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</si>
  <si>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</si>
  <si>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</si>
  <si>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</si>
  <si>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</si>
  <si>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</si>
  <si>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</si>
  <si>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</si>
  <si>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</si>
  <si>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</si>
  <si>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</si>
  <si>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</si>
  <si>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</si>
  <si>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</si>
  <si>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</si>
  <si>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</si>
  <si>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</si>
  <si>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</si>
  <si>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</si>
  <si>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</si>
  <si>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</si>
  <si>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</si>
  <si>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</si>
  <si>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</si>
  <si>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</si>
  <si>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</si>
  <si>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</si>
  <si>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</si>
  <si>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</si>
  <si>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</si>
  <si>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</si>
  <si>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</si>
  <si>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</si>
  <si>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</si>
  <si>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</si>
  <si>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</si>
  <si>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</si>
  <si>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</si>
  <si>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</si>
  <si>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</si>
  <si>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</si>
  <si>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</si>
  <si>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</si>
  <si>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</si>
  <si>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</si>
  <si>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</si>
  <si>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</si>
  <si>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</si>
  <si>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</si>
  <si>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</si>
  <si>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</si>
  <si>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</si>
  <si>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</si>
  <si>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</si>
  <si>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</si>
  <si>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</si>
  <si>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</si>
  <si>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</si>
  <si>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</si>
  <si>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</si>
  <si>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</si>
  <si>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</si>
  <si>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</si>
  <si>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</si>
  <si>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</si>
  <si>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</si>
  <si>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</si>
  <si>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</si>
  <si>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</si>
  <si>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</si>
  <si>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</si>
  <si>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</si>
  <si>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</si>
  <si>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</si>
  <si>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</si>
  <si>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</si>
  <si>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</si>
  <si>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</si>
  <si>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</si>
  <si>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</si>
  <si>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</si>
  <si>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</si>
  <si>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</si>
  <si>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</si>
  <si>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</si>
  <si>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</si>
  <si>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</si>
  <si>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</si>
  <si>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</si>
  <si>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</si>
  <si>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</si>
  <si>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</si>
  <si>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</si>
  <si>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</si>
  <si>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</si>
  <si>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</si>
  <si>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</si>
  <si>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</si>
  <si>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</si>
  <si>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</si>
  <si>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</si>
  <si>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</si>
  <si>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</si>
  <si>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</si>
  <si>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</si>
  <si>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</si>
  <si>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</si>
  <si>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</si>
  <si>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</si>
  <si>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</si>
  <si>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</si>
  <si>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</si>
  <si>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</si>
  <si>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</si>
  <si>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</si>
  <si>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</si>
  <si>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</si>
  <si>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</si>
  <si>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</si>
  <si>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</si>
  <si>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</si>
  <si>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</si>
  <si>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</si>
  <si>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</si>
  <si>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</si>
  <si>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</si>
  <si>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</si>
  <si>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</si>
  <si>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</si>
  <si>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</si>
  <si>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</si>
  <si>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</si>
  <si>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</si>
  <si>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</si>
  <si>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</si>
  <si>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</si>
  <si>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</si>
  <si>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</si>
  <si>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</si>
  <si>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</si>
  <si>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</si>
  <si>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</si>
  <si>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</si>
  <si>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</si>
  <si>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</si>
  <si>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</si>
  <si>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</si>
  <si>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</si>
  <si>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</si>
  <si>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</si>
  <si>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</si>
  <si>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</si>
  <si>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</si>
  <si>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</si>
  <si>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</si>
  <si>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</si>
  <si>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</si>
  <si>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73083</t>
  </si>
  <si>
    <t>TONGEREN</t>
  </si>
  <si>
    <t>Eandis (januari 2018); Infrax (juni 2018)</t>
  </si>
  <si>
    <t>MOW (september 2017)</t>
  </si>
  <si>
    <t>referentietaak LNE (2017); Jaarverslag De Lijn (2016)</t>
  </si>
  <si>
    <t>VEA (april 2018)</t>
  </si>
  <si>
    <t>VEA (januari 2017)</t>
  </si>
  <si>
    <t>VEA (juni 2018)</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</si>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</sst>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281969.21532610588</c:v>
                </c:pt>
                <c:pt idx="1">
                  <c:v>124209.11676132724</c:v>
                </c:pt>
                <c:pt idx="2">
                  <c:v>2038.8230000000001</c:v>
                </c:pt>
                <c:pt idx="3">
                  <c:v>30186.374688138101</c:v>
                </c:pt>
                <c:pt idx="4">
                  <c:v>64494.775525877412</c:v>
                </c:pt>
                <c:pt idx="5">
                  <c:v>187688.02299376158</c:v>
                </c:pt>
                <c:pt idx="6">
                  <c:v>5116.5805662765242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281969.21532610588</c:v>
                </c:pt>
                <c:pt idx="1">
                  <c:v>124209.11676132724</c:v>
                </c:pt>
                <c:pt idx="2">
                  <c:v>2038.8230000000001</c:v>
                </c:pt>
                <c:pt idx="3">
                  <c:v>30186.374688138101</c:v>
                </c:pt>
                <c:pt idx="4">
                  <c:v>64494.775525877412</c:v>
                </c:pt>
                <c:pt idx="5">
                  <c:v>187688.02299376158</c:v>
                </c:pt>
                <c:pt idx="6">
                  <c:v>5116.5805662765242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55736.897591916277</c:v>
                </c:pt>
                <c:pt idx="1">
                  <c:v>22648.904412142183</c:v>
                </c:pt>
                <c:pt idx="2">
                  <c:v>354.01941649879137</c:v>
                </c:pt>
                <c:pt idx="3">
                  <c:v>3504.6485461930884</c:v>
                </c:pt>
                <c:pt idx="4">
                  <c:v>12211.561554204602</c:v>
                </c:pt>
                <c:pt idx="5">
                  <c:v>46956.332072424637</c:v>
                </c:pt>
                <c:pt idx="6">
                  <c:v>1292.7069624805647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46432"/>
      </c:barChart>
      <c:catAx>
        <c:axId val="156932352"/>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55736.897591916277</c:v>
                </c:pt>
                <c:pt idx="1">
                  <c:v>22648.904412142183</c:v>
                </c:pt>
                <c:pt idx="2">
                  <c:v>354.01941649879137</c:v>
                </c:pt>
                <c:pt idx="3">
                  <c:v>3504.6485461930884</c:v>
                </c:pt>
                <c:pt idx="4">
                  <c:v>12211.561554204602</c:v>
                </c:pt>
                <c:pt idx="5">
                  <c:v>46956.332072424637</c:v>
                </c:pt>
                <c:pt idx="6">
                  <c:v>1292.7069624805647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73083</v>
      </c>
      <c r="B6" s="415"/>
      <c r="C6" s="416"/>
    </row>
    <row r="7" spans="1:7" s="413" customFormat="1" ht="15.75" customHeight="1">
      <c r="A7" s="417" t="str">
        <f>txtMunicipality</f>
        <v>TONGEREN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55767.755750000004</v>
      </c>
      <c r="D10" s="718">
        <f ca="1">tertiair!C16</f>
        <v>2436.4285714285716</v>
      </c>
      <c r="E10" s="718">
        <f ca="1">tertiair!D16</f>
        <v>52160.019939642858</v>
      </c>
      <c r="F10" s="718">
        <f>tertiair!E16</f>
        <v>912.79917129872604</v>
      </c>
      <c r="G10" s="718">
        <f ca="1">tertiair!F16</f>
        <v>9391.059310848399</v>
      </c>
      <c r="H10" s="718">
        <f>tertiair!G16</f>
        <v>0</v>
      </c>
      <c r="I10" s="718">
        <f>tertiair!H16</f>
        <v>0</v>
      </c>
      <c r="J10" s="718">
        <f>tertiair!I16</f>
        <v>0</v>
      </c>
      <c r="K10" s="718">
        <f>tertiair!J16</f>
        <v>0.13674802575875675</v>
      </c>
      <c r="L10" s="718">
        <f>tertiair!K16</f>
        <v>0</v>
      </c>
      <c r="M10" s="718">
        <f ca="1">tertiair!L16</f>
        <v>0</v>
      </c>
      <c r="N10" s="718">
        <f>tertiair!M16</f>
        <v>0</v>
      </c>
      <c r="O10" s="718">
        <f ca="1">tertiair!N16</f>
        <v>5482.8436034162423</v>
      </c>
      <c r="P10" s="718">
        <f>tertiair!O16</f>
        <v>1.5633333333333335</v>
      </c>
      <c r="Q10" s="719">
        <f>tertiair!P16</f>
        <v>95.333333333333343</v>
      </c>
      <c r="R10" s="721">
        <f ca="1">SUM(C10:Q10)</f>
        <v>126247.93976132723</v>
      </c>
      <c r="S10" s="67"/>
    </row>
    <row r="11" spans="1:19" s="474" customFormat="1">
      <c r="A11" s="870" t="s">
        <v>225</v>
      </c>
      <c r="B11" s="875"/>
      <c r="C11" s="718">
        <f>huishoudens!B8</f>
        <v>49102.955098568564</v>
      </c>
      <c r="D11" s="718">
        <f>huishoudens!C8</f>
        <v>0</v>
      </c>
      <c r="E11" s="718">
        <f>huishoudens!D8</f>
        <v>103588.72470100001</v>
      </c>
      <c r="F11" s="718">
        <f>huishoudens!E8</f>
        <v>9419.8412030504187</v>
      </c>
      <c r="G11" s="718">
        <f>huishoudens!F8</f>
        <v>84727.184520280716</v>
      </c>
      <c r="H11" s="718">
        <f>huishoudens!G8</f>
        <v>0</v>
      </c>
      <c r="I11" s="718">
        <f>huishoudens!H8</f>
        <v>0</v>
      </c>
      <c r="J11" s="718">
        <f>huishoudens!I8</f>
        <v>0</v>
      </c>
      <c r="K11" s="718">
        <f>huishoudens!J8</f>
        <v>4308.8119554336736</v>
      </c>
      <c r="L11" s="718">
        <f>huishoudens!K8</f>
        <v>0</v>
      </c>
      <c r="M11" s="718">
        <f>huishoudens!L8</f>
        <v>0</v>
      </c>
      <c r="N11" s="718">
        <f>huishoudens!M8</f>
        <v>0</v>
      </c>
      <c r="O11" s="718">
        <f>huishoudens!N8</f>
        <v>29611.611181105822</v>
      </c>
      <c r="P11" s="718">
        <f>huishoudens!O8</f>
        <v>428.35333333333335</v>
      </c>
      <c r="Q11" s="719">
        <f>huishoudens!P8</f>
        <v>781.73333333333335</v>
      </c>
      <c r="R11" s="721">
        <f>SUM(C11:Q11)</f>
        <v>281969.21532610588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22952.547600000002</v>
      </c>
      <c r="D13" s="718">
        <f>industrie!C18</f>
        <v>0</v>
      </c>
      <c r="E13" s="718">
        <f>industrie!D18</f>
        <v>17577.6445867</v>
      </c>
      <c r="F13" s="718">
        <f>industrie!E18</f>
        <v>4706.6479022840504</v>
      </c>
      <c r="G13" s="718">
        <f>industrie!F18</f>
        <v>13496.970398951251</v>
      </c>
      <c r="H13" s="718">
        <f>industrie!G18</f>
        <v>0</v>
      </c>
      <c r="I13" s="718">
        <f>industrie!H18</f>
        <v>0</v>
      </c>
      <c r="J13" s="718">
        <f>industrie!I18</f>
        <v>0</v>
      </c>
      <c r="K13" s="718">
        <f>industrie!J18</f>
        <v>9.3705645144836609</v>
      </c>
      <c r="L13" s="718">
        <f>industrie!K18</f>
        <v>0</v>
      </c>
      <c r="M13" s="718">
        <f>industrie!L18</f>
        <v>0</v>
      </c>
      <c r="N13" s="718">
        <f>industrie!M18</f>
        <v>0</v>
      </c>
      <c r="O13" s="718">
        <f>industrie!N18</f>
        <v>5751.5944734276309</v>
      </c>
      <c r="P13" s="718">
        <f>industrie!O18</f>
        <v>0</v>
      </c>
      <c r="Q13" s="719">
        <f>industrie!P18</f>
        <v>0</v>
      </c>
      <c r="R13" s="721">
        <f>SUM(C13:Q13)</f>
        <v>64494.775525877412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127823.25844856857</v>
      </c>
      <c r="D15" s="723">
        <f t="shared" ref="D15:Q15" ca="1" si="0">SUM(D9:D14)</f>
        <v>2436.4285714285716</v>
      </c>
      <c r="E15" s="723">
        <f t="shared" ca="1" si="0"/>
        <v>173326.38922734285</v>
      </c>
      <c r="F15" s="723">
        <f t="shared" si="0"/>
        <v>15039.288276633195</v>
      </c>
      <c r="G15" s="723">
        <f t="shared" ca="1" si="0"/>
        <v>107615.21423008037</v>
      </c>
      <c r="H15" s="723">
        <f t="shared" si="0"/>
        <v>0</v>
      </c>
      <c r="I15" s="723">
        <f t="shared" si="0"/>
        <v>0</v>
      </c>
      <c r="J15" s="723">
        <f t="shared" si="0"/>
        <v>0</v>
      </c>
      <c r="K15" s="723">
        <f t="shared" si="0"/>
        <v>4318.3192679739159</v>
      </c>
      <c r="L15" s="723">
        <f t="shared" si="0"/>
        <v>0</v>
      </c>
      <c r="M15" s="723">
        <f t="shared" ca="1" si="0"/>
        <v>0</v>
      </c>
      <c r="N15" s="723">
        <f t="shared" si="0"/>
        <v>0</v>
      </c>
      <c r="O15" s="723">
        <f t="shared" ca="1" si="0"/>
        <v>40846.049257949693</v>
      </c>
      <c r="P15" s="723">
        <f t="shared" si="0"/>
        <v>429.91666666666669</v>
      </c>
      <c r="Q15" s="724">
        <f t="shared" si="0"/>
        <v>877.06666666666672</v>
      </c>
      <c r="R15" s="725">
        <f ca="1">SUM(R9:R14)</f>
        <v>472711.93061331054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4841.5991104140994</v>
      </c>
      <c r="I18" s="718">
        <f>transport!H54</f>
        <v>0</v>
      </c>
      <c r="J18" s="718">
        <f>transport!I54</f>
        <v>0</v>
      </c>
      <c r="K18" s="718">
        <f>transport!J54</f>
        <v>0</v>
      </c>
      <c r="L18" s="718">
        <f>transport!K54</f>
        <v>0</v>
      </c>
      <c r="M18" s="718">
        <f>transport!L54</f>
        <v>0</v>
      </c>
      <c r="N18" s="718">
        <f>transport!M54</f>
        <v>274.98145586242447</v>
      </c>
      <c r="O18" s="718">
        <f>transport!N54</f>
        <v>0</v>
      </c>
      <c r="P18" s="718">
        <f>transport!O54</f>
        <v>0</v>
      </c>
      <c r="Q18" s="719">
        <f>transport!P54</f>
        <v>0</v>
      </c>
      <c r="R18" s="721">
        <f>SUM(C18:Q18)</f>
        <v>5116.5805662765242</v>
      </c>
      <c r="S18" s="67"/>
    </row>
    <row r="19" spans="1:19" s="474" customFormat="1" ht="15" thickBot="1">
      <c r="A19" s="870" t="s">
        <v>307</v>
      </c>
      <c r="B19" s="875"/>
      <c r="C19" s="727">
        <f>transport!B14</f>
        <v>86.018020419024765</v>
      </c>
      <c r="D19" s="727">
        <f>transport!C14</f>
        <v>0</v>
      </c>
      <c r="E19" s="727">
        <f>transport!D14</f>
        <v>295.25602785260952</v>
      </c>
      <c r="F19" s="727">
        <f>transport!E14</f>
        <v>397.26036261227978</v>
      </c>
      <c r="G19" s="727">
        <f>transport!F14</f>
        <v>0</v>
      </c>
      <c r="H19" s="727">
        <f>transport!G14</f>
        <v>144145.11222593157</v>
      </c>
      <c r="I19" s="727">
        <f>transport!H14</f>
        <v>33352.73572460741</v>
      </c>
      <c r="J19" s="727">
        <f>transport!I14</f>
        <v>0</v>
      </c>
      <c r="K19" s="727">
        <f>transport!J14</f>
        <v>0</v>
      </c>
      <c r="L19" s="727">
        <f>transport!K14</f>
        <v>0</v>
      </c>
      <c r="M19" s="727">
        <f>transport!L14</f>
        <v>0</v>
      </c>
      <c r="N19" s="727">
        <f>transport!M14</f>
        <v>9411.6406323386982</v>
      </c>
      <c r="O19" s="727">
        <f>transport!N14</f>
        <v>0</v>
      </c>
      <c r="P19" s="727">
        <f>transport!O14</f>
        <v>0</v>
      </c>
      <c r="Q19" s="728">
        <f>transport!P14</f>
        <v>0</v>
      </c>
      <c r="R19" s="729">
        <f>SUM(C19:Q19)</f>
        <v>187688.02299376158</v>
      </c>
      <c r="S19" s="67"/>
    </row>
    <row r="20" spans="1:19" s="474" customFormat="1" ht="15.75" thickBot="1">
      <c r="A20" s="730" t="s">
        <v>230</v>
      </c>
      <c r="B20" s="878"/>
      <c r="C20" s="873">
        <f>SUM(C17:C19)</f>
        <v>86.018020419024765</v>
      </c>
      <c r="D20" s="731">
        <f t="shared" ref="D20:R20" si="1">SUM(D17:D19)</f>
        <v>0</v>
      </c>
      <c r="E20" s="731">
        <f t="shared" si="1"/>
        <v>295.25602785260952</v>
      </c>
      <c r="F20" s="731">
        <f t="shared" si="1"/>
        <v>397.26036261227978</v>
      </c>
      <c r="G20" s="731">
        <f t="shared" si="1"/>
        <v>0</v>
      </c>
      <c r="H20" s="731">
        <f t="shared" si="1"/>
        <v>148986.71133634567</v>
      </c>
      <c r="I20" s="731">
        <f t="shared" si="1"/>
        <v>33352.73572460741</v>
      </c>
      <c r="J20" s="731">
        <f t="shared" si="1"/>
        <v>0</v>
      </c>
      <c r="K20" s="731">
        <f t="shared" si="1"/>
        <v>0</v>
      </c>
      <c r="L20" s="731">
        <f t="shared" si="1"/>
        <v>0</v>
      </c>
      <c r="M20" s="731">
        <f t="shared" si="1"/>
        <v>0</v>
      </c>
      <c r="N20" s="731">
        <f t="shared" si="1"/>
        <v>9686.6220882011221</v>
      </c>
      <c r="O20" s="731">
        <f t="shared" si="1"/>
        <v>0</v>
      </c>
      <c r="P20" s="731">
        <f t="shared" si="1"/>
        <v>0</v>
      </c>
      <c r="Q20" s="732">
        <f t="shared" si="1"/>
        <v>0</v>
      </c>
      <c r="R20" s="733">
        <f t="shared" si="1"/>
        <v>192804.60356003811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2135.2249999999999</v>
      </c>
      <c r="D22" s="727">
        <f>+landbouw!C8</f>
        <v>18167.142857142859</v>
      </c>
      <c r="E22" s="727">
        <f>+landbouw!D8</f>
        <v>616.66583000000003</v>
      </c>
      <c r="F22" s="727">
        <f>+landbouw!E8</f>
        <v>62.760784479897829</v>
      </c>
      <c r="G22" s="727">
        <f>+landbouw!F8</f>
        <v>8895.2319684971062</v>
      </c>
      <c r="H22" s="727">
        <f>+landbouw!G8</f>
        <v>0</v>
      </c>
      <c r="I22" s="727">
        <f>+landbouw!H8</f>
        <v>0</v>
      </c>
      <c r="J22" s="727">
        <f>+landbouw!I8</f>
        <v>0</v>
      </c>
      <c r="K22" s="727">
        <f>+landbouw!J8</f>
        <v>309.3482480182339</v>
      </c>
      <c r="L22" s="727">
        <f>+landbouw!K8</f>
        <v>0</v>
      </c>
      <c r="M22" s="727">
        <f>+landbouw!L8</f>
        <v>0</v>
      </c>
      <c r="N22" s="727">
        <f>+landbouw!M8</f>
        <v>0</v>
      </c>
      <c r="O22" s="727">
        <f>+landbouw!N8</f>
        <v>0</v>
      </c>
      <c r="P22" s="727">
        <f>+landbouw!O8</f>
        <v>0</v>
      </c>
      <c r="Q22" s="728">
        <f>+landbouw!P8</f>
        <v>0</v>
      </c>
      <c r="R22" s="729">
        <f>SUM(C22:Q22)</f>
        <v>30186.374688138101</v>
      </c>
      <c r="S22" s="67"/>
    </row>
    <row r="23" spans="1:19" s="474" customFormat="1" ht="17.25" thickTop="1" thickBot="1">
      <c r="A23" s="734" t="s">
        <v>116</v>
      </c>
      <c r="B23" s="864"/>
      <c r="C23" s="735">
        <f ca="1">C20+C15+C22</f>
        <v>130044.5014689876</v>
      </c>
      <c r="D23" s="735">
        <f t="shared" ref="D23:Q23" ca="1" si="2">D20+D15+D22</f>
        <v>20603.571428571431</v>
      </c>
      <c r="E23" s="735">
        <f t="shared" ca="1" si="2"/>
        <v>174238.31108519548</v>
      </c>
      <c r="F23" s="735">
        <f t="shared" si="2"/>
        <v>15499.309423725374</v>
      </c>
      <c r="G23" s="735">
        <f t="shared" ca="1" si="2"/>
        <v>116510.44619857747</v>
      </c>
      <c r="H23" s="735">
        <f t="shared" si="2"/>
        <v>148986.71133634567</v>
      </c>
      <c r="I23" s="735">
        <f t="shared" si="2"/>
        <v>33352.73572460741</v>
      </c>
      <c r="J23" s="735">
        <f t="shared" si="2"/>
        <v>0</v>
      </c>
      <c r="K23" s="735">
        <f t="shared" si="2"/>
        <v>4627.6675159921497</v>
      </c>
      <c r="L23" s="735">
        <f t="shared" si="2"/>
        <v>0</v>
      </c>
      <c r="M23" s="735">
        <f t="shared" ca="1" si="2"/>
        <v>0</v>
      </c>
      <c r="N23" s="735">
        <f t="shared" si="2"/>
        <v>9686.6220882011221</v>
      </c>
      <c r="O23" s="735">
        <f t="shared" ca="1" si="2"/>
        <v>40846.049257949693</v>
      </c>
      <c r="P23" s="735">
        <f t="shared" si="2"/>
        <v>429.91666666666669</v>
      </c>
      <c r="Q23" s="736">
        <f t="shared" si="2"/>
        <v>877.06666666666672</v>
      </c>
      <c r="R23" s="737">
        <f ca="1">R20+R15+R22</f>
        <v>695702.90886148682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9683.4636209529308</v>
      </c>
      <c r="D36" s="718">
        <f ca="1">tertiair!C20</f>
        <v>68.469523197734645</v>
      </c>
      <c r="E36" s="718">
        <f ca="1">tertiair!D20</f>
        <v>10536.324027807857</v>
      </c>
      <c r="F36" s="718">
        <f>tertiair!E20</f>
        <v>207.20541188481081</v>
      </c>
      <c r="G36" s="718">
        <f ca="1">tertiair!F20</f>
        <v>2507.4128359965225</v>
      </c>
      <c r="H36" s="718">
        <f>tertiair!G20</f>
        <v>0</v>
      </c>
      <c r="I36" s="718">
        <f>tertiair!H20</f>
        <v>0</v>
      </c>
      <c r="J36" s="718">
        <f>tertiair!I20</f>
        <v>0</v>
      </c>
      <c r="K36" s="718">
        <f>tertiair!J20</f>
        <v>4.8408801118599888E-2</v>
      </c>
      <c r="L36" s="718">
        <f>tertiair!K20</f>
        <v>0</v>
      </c>
      <c r="M36" s="718">
        <f ca="1">tertiair!L20</f>
        <v>0</v>
      </c>
      <c r="N36" s="718">
        <f>tertiair!M20</f>
        <v>0</v>
      </c>
      <c r="O36" s="718">
        <f ca="1">tertiair!N20</f>
        <v>0</v>
      </c>
      <c r="P36" s="718">
        <f>tertiair!O20</f>
        <v>0</v>
      </c>
      <c r="Q36" s="828">
        <f>tertiair!P20</f>
        <v>0</v>
      </c>
      <c r="R36" s="917">
        <f ca="1">SUM(C36:Q36)</f>
        <v>23002.923828640975</v>
      </c>
    </row>
    <row r="37" spans="1:18">
      <c r="A37" s="885" t="s">
        <v>225</v>
      </c>
      <c r="B37" s="892"/>
      <c r="C37" s="718">
        <f ca="1">huishoudens!B12</f>
        <v>8526.1935500833533</v>
      </c>
      <c r="D37" s="718">
        <f ca="1">huishoudens!C12</f>
        <v>0</v>
      </c>
      <c r="E37" s="718">
        <f>huishoudens!D12</f>
        <v>20924.922389602005</v>
      </c>
      <c r="F37" s="718">
        <f>huishoudens!E12</f>
        <v>2138.3039530924452</v>
      </c>
      <c r="G37" s="718">
        <f>huishoudens!F12</f>
        <v>22622.158266914954</v>
      </c>
      <c r="H37" s="718">
        <f>huishoudens!G12</f>
        <v>0</v>
      </c>
      <c r="I37" s="718">
        <f>huishoudens!H12</f>
        <v>0</v>
      </c>
      <c r="J37" s="718">
        <f>huishoudens!I12</f>
        <v>0</v>
      </c>
      <c r="K37" s="718">
        <f>huishoudens!J12</f>
        <v>1525.3194322235204</v>
      </c>
      <c r="L37" s="718">
        <f>huishoudens!K12</f>
        <v>0</v>
      </c>
      <c r="M37" s="718">
        <f>huishoudens!L12</f>
        <v>0</v>
      </c>
      <c r="N37" s="718">
        <f>huishoudens!M12</f>
        <v>0</v>
      </c>
      <c r="O37" s="718">
        <f>huishoudens!N12</f>
        <v>0</v>
      </c>
      <c r="P37" s="718">
        <f>huishoudens!O12</f>
        <v>0</v>
      </c>
      <c r="Q37" s="828">
        <f>huishoudens!P12</f>
        <v>0</v>
      </c>
      <c r="R37" s="917">
        <f ca="1">SUM(C37:Q37)</f>
        <v>55736.897591916277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3985.459997514612</v>
      </c>
      <c r="D39" s="718">
        <f ca="1">industrie!C22</f>
        <v>0</v>
      </c>
      <c r="E39" s="718">
        <f>industrie!D22</f>
        <v>3550.6842065134001</v>
      </c>
      <c r="F39" s="718">
        <f>industrie!E22</f>
        <v>1068.4090738184796</v>
      </c>
      <c r="G39" s="718">
        <f>industrie!F22</f>
        <v>3603.6910965199841</v>
      </c>
      <c r="H39" s="718">
        <f>industrie!G22</f>
        <v>0</v>
      </c>
      <c r="I39" s="718">
        <f>industrie!H22</f>
        <v>0</v>
      </c>
      <c r="J39" s="718">
        <f>industrie!I22</f>
        <v>0</v>
      </c>
      <c r="K39" s="718">
        <f>industrie!J22</f>
        <v>3.317179838127216</v>
      </c>
      <c r="L39" s="718">
        <f>industrie!K22</f>
        <v>0</v>
      </c>
      <c r="M39" s="718">
        <f>industrie!L22</f>
        <v>0</v>
      </c>
      <c r="N39" s="718">
        <f>industrie!M22</f>
        <v>0</v>
      </c>
      <c r="O39" s="718">
        <f>industrie!N22</f>
        <v>0</v>
      </c>
      <c r="P39" s="718">
        <f>industrie!O22</f>
        <v>0</v>
      </c>
      <c r="Q39" s="828">
        <f>industrie!P22</f>
        <v>0</v>
      </c>
      <c r="R39" s="918">
        <f ca="1">SUM(C39:Q39)</f>
        <v>12211.561554204602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22195.117168550896</v>
      </c>
      <c r="D41" s="763">
        <f t="shared" ref="D41:R41" ca="1" si="4">SUM(D35:D40)</f>
        <v>68.469523197734645</v>
      </c>
      <c r="E41" s="763">
        <f t="shared" ca="1" si="4"/>
        <v>35011.930623923261</v>
      </c>
      <c r="F41" s="763">
        <f t="shared" si="4"/>
        <v>3413.9184387957357</v>
      </c>
      <c r="G41" s="763">
        <f t="shared" ca="1" si="4"/>
        <v>28733.262199431461</v>
      </c>
      <c r="H41" s="763">
        <f t="shared" si="4"/>
        <v>0</v>
      </c>
      <c r="I41" s="763">
        <f t="shared" si="4"/>
        <v>0</v>
      </c>
      <c r="J41" s="763">
        <f t="shared" si="4"/>
        <v>0</v>
      </c>
      <c r="K41" s="763">
        <f t="shared" si="4"/>
        <v>1528.6850208627661</v>
      </c>
      <c r="L41" s="763">
        <f t="shared" si="4"/>
        <v>0</v>
      </c>
      <c r="M41" s="763">
        <f t="shared" ca="1" si="4"/>
        <v>0</v>
      </c>
      <c r="N41" s="763">
        <f t="shared" si="4"/>
        <v>0</v>
      </c>
      <c r="O41" s="763">
        <f t="shared" ca="1" si="4"/>
        <v>0</v>
      </c>
      <c r="P41" s="763">
        <f t="shared" si="4"/>
        <v>0</v>
      </c>
      <c r="Q41" s="764">
        <f t="shared" si="4"/>
        <v>0</v>
      </c>
      <c r="R41" s="765">
        <f t="shared" ca="1" si="4"/>
        <v>90951.382974761844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1292.7069624805647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1292.7069624805647</v>
      </c>
    </row>
    <row r="45" spans="1:18" ht="15" thickBot="1">
      <c r="A45" s="888" t="s">
        <v>307</v>
      </c>
      <c r="B45" s="898"/>
      <c r="C45" s="727">
        <f ca="1">transport!B18</f>
        <v>14.936092734447408</v>
      </c>
      <c r="D45" s="727">
        <f>transport!C18</f>
        <v>0</v>
      </c>
      <c r="E45" s="727">
        <f>transport!D18</f>
        <v>59.641717626227127</v>
      </c>
      <c r="F45" s="727">
        <f>transport!E18</f>
        <v>90.178102312987519</v>
      </c>
      <c r="G45" s="727">
        <f>transport!F18</f>
        <v>0</v>
      </c>
      <c r="H45" s="727">
        <f>transport!G18</f>
        <v>38486.744964323734</v>
      </c>
      <c r="I45" s="727">
        <f>transport!H18</f>
        <v>8304.8311954272449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46956.332072424637</v>
      </c>
    </row>
    <row r="46" spans="1:18" ht="15.75" thickBot="1">
      <c r="A46" s="886" t="s">
        <v>230</v>
      </c>
      <c r="B46" s="899"/>
      <c r="C46" s="763">
        <f t="shared" ref="C46:R46" ca="1" si="5">SUM(C43:C45)</f>
        <v>14.936092734447408</v>
      </c>
      <c r="D46" s="763">
        <f t="shared" ca="1" si="5"/>
        <v>0</v>
      </c>
      <c r="E46" s="763">
        <f t="shared" si="5"/>
        <v>59.641717626227127</v>
      </c>
      <c r="F46" s="763">
        <f t="shared" si="5"/>
        <v>90.178102312987519</v>
      </c>
      <c r="G46" s="763">
        <f t="shared" si="5"/>
        <v>0</v>
      </c>
      <c r="H46" s="763">
        <f t="shared" si="5"/>
        <v>39779.4519268043</v>
      </c>
      <c r="I46" s="763">
        <f t="shared" si="5"/>
        <v>8304.8311954272449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48249.039034905203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370.7585742330902</v>
      </c>
      <c r="D48" s="718">
        <f ca="1">+landbouw!C12</f>
        <v>510.54056083587892</v>
      </c>
      <c r="E48" s="718">
        <f>+landbouw!D12</f>
        <v>124.56649766000001</v>
      </c>
      <c r="F48" s="718">
        <f>+landbouw!E12</f>
        <v>14.246698076936807</v>
      </c>
      <c r="G48" s="718">
        <f>+landbouw!F12</f>
        <v>2375.0269355887276</v>
      </c>
      <c r="H48" s="718">
        <f>+landbouw!G12</f>
        <v>0</v>
      </c>
      <c r="I48" s="718">
        <f>+landbouw!H12</f>
        <v>0</v>
      </c>
      <c r="J48" s="718">
        <f>+landbouw!I12</f>
        <v>0</v>
      </c>
      <c r="K48" s="718">
        <f>+landbouw!J12</f>
        <v>109.5092797984548</v>
      </c>
      <c r="L48" s="718">
        <f>+landbouw!K12</f>
        <v>0</v>
      </c>
      <c r="M48" s="718">
        <f>+landbouw!L12</f>
        <v>0</v>
      </c>
      <c r="N48" s="718">
        <f>+landbouw!M12</f>
        <v>0</v>
      </c>
      <c r="O48" s="718">
        <f>+landbouw!N12</f>
        <v>0</v>
      </c>
      <c r="P48" s="718">
        <f>+landbouw!O12</f>
        <v>0</v>
      </c>
      <c r="Q48" s="719">
        <f>+landbouw!P12</f>
        <v>0</v>
      </c>
      <c r="R48" s="761">
        <f ca="1">SUM(C48:Q48)</f>
        <v>3504.6485461930884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22580.811835518431</v>
      </c>
      <c r="D53" s="773">
        <f t="shared" ref="D53:Q53" ca="1" si="6">D41+D46+D48</f>
        <v>579.01008403361357</v>
      </c>
      <c r="E53" s="773">
        <f t="shared" ca="1" si="6"/>
        <v>35196.138839209489</v>
      </c>
      <c r="F53" s="773">
        <f t="shared" si="6"/>
        <v>3518.34323918566</v>
      </c>
      <c r="G53" s="773">
        <f t="shared" ca="1" si="6"/>
        <v>31108.28913502019</v>
      </c>
      <c r="H53" s="773">
        <f t="shared" si="6"/>
        <v>39779.4519268043</v>
      </c>
      <c r="I53" s="773">
        <f t="shared" si="6"/>
        <v>8304.8311954272449</v>
      </c>
      <c r="J53" s="773">
        <f t="shared" si="6"/>
        <v>0</v>
      </c>
      <c r="K53" s="773">
        <f t="shared" si="6"/>
        <v>1638.194300661221</v>
      </c>
      <c r="L53" s="773">
        <f t="shared" si="6"/>
        <v>0</v>
      </c>
      <c r="M53" s="773">
        <f t="shared" ca="1" si="6"/>
        <v>0</v>
      </c>
      <c r="N53" s="773">
        <f t="shared" si="6"/>
        <v>0</v>
      </c>
      <c r="O53" s="773">
        <f t="shared" ca="1" si="6"/>
        <v>0</v>
      </c>
      <c r="P53" s="773">
        <f>P41+P46+P48</f>
        <v>0</v>
      </c>
      <c r="Q53" s="774">
        <f t="shared" si="6"/>
        <v>0</v>
      </c>
      <c r="R53" s="775">
        <f ca="1">R41+R46+R48</f>
        <v>142705.07055586012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0.17363911261487205</v>
      </c>
      <c r="D55" s="836">
        <f t="shared" ca="1" si="7"/>
        <v>2.810241350830504E-2</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17.590620040955631</v>
      </c>
      <c r="C65" s="795">
        <f>'lokale energieproductie'!B5</f>
        <v>17.590620040955631</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15262.760275666516</v>
      </c>
      <c r="C66" s="795">
        <f>'lokale energieproductie'!B6</f>
        <v>15262.760275666516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14422.5</v>
      </c>
      <c r="C67" s="794">
        <f>B67*IFERROR(SUM(J67:L67)/SUM(D67:M67),0)</f>
        <v>12717</v>
      </c>
      <c r="D67" s="826">
        <f>'lokale energieproductie'!C7</f>
        <v>2006.4705882352939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14961.176470588234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405.30705882352942</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29702.850895707474</v>
      </c>
      <c r="C69" s="803">
        <f>SUM(C64:C68)</f>
        <v>27997.350895707474</v>
      </c>
      <c r="D69" s="804">
        <f t="shared" ref="D69:M69" si="8">SUM(D67:D68)</f>
        <v>2006.4705882352939</v>
      </c>
      <c r="E69" s="804">
        <f t="shared" si="8"/>
        <v>0</v>
      </c>
      <c r="F69" s="804">
        <f t="shared" si="8"/>
        <v>0</v>
      </c>
      <c r="G69" s="804">
        <f t="shared" si="8"/>
        <v>0</v>
      </c>
      <c r="H69" s="804">
        <f t="shared" si="8"/>
        <v>0</v>
      </c>
      <c r="I69" s="804">
        <f t="shared" si="8"/>
        <v>0</v>
      </c>
      <c r="J69" s="804">
        <f t="shared" si="8"/>
        <v>0</v>
      </c>
      <c r="K69" s="804">
        <f t="shared" si="8"/>
        <v>14961.176470588234</v>
      </c>
      <c r="L69" s="804">
        <f t="shared" si="8"/>
        <v>0</v>
      </c>
      <c r="M69" s="930">
        <f t="shared" si="8"/>
        <v>0</v>
      </c>
      <c r="N69" s="805">
        <v>0</v>
      </c>
      <c r="O69" s="805">
        <f>SUM(O67:O68)</f>
        <v>405.30705882352942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20603.571428571431</v>
      </c>
      <c r="C78" s="817">
        <f>B78*IFERROR(SUM(I78:L78)/SUM(D78:M78),0)</f>
        <v>18167.142857142859</v>
      </c>
      <c r="D78" s="832">
        <f>'lokale energieproductie'!C16</f>
        <v>2866.386554621849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21373.109243697483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579.01008403361357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20603.571428571431</v>
      </c>
      <c r="C81" s="803">
        <f>SUM(C78:C80)</f>
        <v>18167.142857142859</v>
      </c>
      <c r="D81" s="803">
        <f t="shared" ref="D81:P81" si="9">SUM(D78:D80)</f>
        <v>2866.386554621849</v>
      </c>
      <c r="E81" s="803">
        <f t="shared" si="9"/>
        <v>0</v>
      </c>
      <c r="F81" s="803">
        <f t="shared" si="9"/>
        <v>0</v>
      </c>
      <c r="G81" s="803">
        <f t="shared" si="9"/>
        <v>0</v>
      </c>
      <c r="H81" s="803">
        <f t="shared" si="9"/>
        <v>0</v>
      </c>
      <c r="I81" s="803">
        <f t="shared" si="9"/>
        <v>0</v>
      </c>
      <c r="J81" s="803">
        <f t="shared" si="9"/>
        <v>0</v>
      </c>
      <c r="K81" s="803">
        <f t="shared" si="9"/>
        <v>21373.109243697483</v>
      </c>
      <c r="L81" s="803">
        <f t="shared" si="9"/>
        <v>0</v>
      </c>
      <c r="M81" s="803">
        <f t="shared" si="9"/>
        <v>0</v>
      </c>
      <c r="N81" s="803">
        <v>0</v>
      </c>
      <c r="O81" s="803">
        <f>SUM(O78:O80)</f>
        <v>579.01008403361357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49102.955098568564</v>
      </c>
      <c r="C4" s="478">
        <f>huishoudens!C8</f>
        <v>0</v>
      </c>
      <c r="D4" s="478">
        <f>huishoudens!D8</f>
        <v>103588.72470100001</v>
      </c>
      <c r="E4" s="478">
        <f>huishoudens!E8</f>
        <v>9419.8412030504187</v>
      </c>
      <c r="F4" s="478">
        <f>huishoudens!F8</f>
        <v>84727.184520280716</v>
      </c>
      <c r="G4" s="478">
        <f>huishoudens!G8</f>
        <v>0</v>
      </c>
      <c r="H4" s="478">
        <f>huishoudens!H8</f>
        <v>0</v>
      </c>
      <c r="I4" s="478">
        <f>huishoudens!I8</f>
        <v>0</v>
      </c>
      <c r="J4" s="478">
        <f>huishoudens!J8</f>
        <v>4308.8119554336736</v>
      </c>
      <c r="K4" s="478">
        <f>huishoudens!K8</f>
        <v>0</v>
      </c>
      <c r="L4" s="478">
        <f>huishoudens!L8</f>
        <v>0</v>
      </c>
      <c r="M4" s="478">
        <f>huishoudens!M8</f>
        <v>0</v>
      </c>
      <c r="N4" s="478">
        <f>huishoudens!N8</f>
        <v>29611.611181105822</v>
      </c>
      <c r="O4" s="478">
        <f>huishoudens!O8</f>
        <v>428.35333333333335</v>
      </c>
      <c r="P4" s="479">
        <f>huishoudens!P8</f>
        <v>781.73333333333335</v>
      </c>
      <c r="Q4" s="480">
        <f>SUM(B4:P4)</f>
        <v>281969.21532610588</v>
      </c>
    </row>
    <row r="5" spans="1:17">
      <c r="A5" s="477" t="s">
        <v>156</v>
      </c>
      <c r="B5" s="478">
        <f ca="1">tertiair!B16</f>
        <v>53728.932750000007</v>
      </c>
      <c r="C5" s="478">
        <f ca="1">tertiair!C16</f>
        <v>2436.4285714285716</v>
      </c>
      <c r="D5" s="478">
        <f ca="1">tertiair!D16</f>
        <v>52160.019939642858</v>
      </c>
      <c r="E5" s="478">
        <f>tertiair!E16</f>
        <v>912.79917129872604</v>
      </c>
      <c r="F5" s="478">
        <f ca="1">tertiair!F16</f>
        <v>9391.059310848399</v>
      </c>
      <c r="G5" s="478">
        <f>tertiair!G16</f>
        <v>0</v>
      </c>
      <c r="H5" s="478">
        <f>tertiair!H16</f>
        <v>0</v>
      </c>
      <c r="I5" s="478">
        <f>tertiair!I16</f>
        <v>0</v>
      </c>
      <c r="J5" s="478">
        <f>tertiair!J16</f>
        <v>0.13674802575875675</v>
      </c>
      <c r="K5" s="478">
        <f>tertiair!K16</f>
        <v>0</v>
      </c>
      <c r="L5" s="478">
        <f ca="1">tertiair!L16</f>
        <v>0</v>
      </c>
      <c r="M5" s="478">
        <f>tertiair!M16</f>
        <v>0</v>
      </c>
      <c r="N5" s="478">
        <f ca="1">tertiair!N16</f>
        <v>5482.8436034162423</v>
      </c>
      <c r="O5" s="478">
        <f>tertiair!O16</f>
        <v>1.5633333333333335</v>
      </c>
      <c r="P5" s="479">
        <f>tertiair!P16</f>
        <v>95.333333333333343</v>
      </c>
      <c r="Q5" s="477">
        <f t="shared" ref="Q5:Q13" ca="1" si="0">SUM(B5:P5)</f>
        <v>124209.11676132724</v>
      </c>
    </row>
    <row r="6" spans="1:17">
      <c r="A6" s="477" t="s">
        <v>194</v>
      </c>
      <c r="B6" s="478">
        <f>'openbare verlichting'!B8</f>
        <v>2038.8230000000001</v>
      </c>
      <c r="C6" s="478"/>
      <c r="D6" s="478"/>
      <c r="E6" s="478"/>
      <c r="F6" s="478"/>
      <c r="G6" s="478"/>
      <c r="H6" s="478"/>
      <c r="I6" s="478"/>
      <c r="J6" s="478"/>
      <c r="K6" s="478"/>
      <c r="L6" s="478"/>
      <c r="M6" s="478"/>
      <c r="N6" s="478"/>
      <c r="O6" s="478"/>
      <c r="P6" s="479"/>
      <c r="Q6" s="477">
        <f t="shared" si="0"/>
        <v>2038.8230000000001</v>
      </c>
    </row>
    <row r="7" spans="1:17">
      <c r="A7" s="477" t="s">
        <v>112</v>
      </c>
      <c r="B7" s="478">
        <f>landbouw!B8</f>
        <v>2135.2249999999999</v>
      </c>
      <c r="C7" s="478">
        <f>landbouw!C8</f>
        <v>18167.142857142859</v>
      </c>
      <c r="D7" s="478">
        <f>landbouw!D8</f>
        <v>616.66583000000003</v>
      </c>
      <c r="E7" s="478">
        <f>landbouw!E8</f>
        <v>62.760784479897829</v>
      </c>
      <c r="F7" s="478">
        <f>landbouw!F8</f>
        <v>8895.2319684971062</v>
      </c>
      <c r="G7" s="478">
        <f>landbouw!G8</f>
        <v>0</v>
      </c>
      <c r="H7" s="478">
        <f>landbouw!H8</f>
        <v>0</v>
      </c>
      <c r="I7" s="478">
        <f>landbouw!I8</f>
        <v>0</v>
      </c>
      <c r="J7" s="478">
        <f>landbouw!J8</f>
        <v>309.3482480182339</v>
      </c>
      <c r="K7" s="478">
        <f>landbouw!K8</f>
        <v>0</v>
      </c>
      <c r="L7" s="478">
        <f>landbouw!L8</f>
        <v>0</v>
      </c>
      <c r="M7" s="478">
        <f>landbouw!M8</f>
        <v>0</v>
      </c>
      <c r="N7" s="478">
        <f>landbouw!N8</f>
        <v>0</v>
      </c>
      <c r="O7" s="478">
        <f>landbouw!O8</f>
        <v>0</v>
      </c>
      <c r="P7" s="479">
        <f>landbouw!P8</f>
        <v>0</v>
      </c>
      <c r="Q7" s="477">
        <f t="shared" si="0"/>
        <v>30186.374688138101</v>
      </c>
    </row>
    <row r="8" spans="1:17">
      <c r="A8" s="477" t="s">
        <v>635</v>
      </c>
      <c r="B8" s="478">
        <f>industrie!B18</f>
        <v>22952.547600000002</v>
      </c>
      <c r="C8" s="478">
        <f>industrie!C18</f>
        <v>0</v>
      </c>
      <c r="D8" s="478">
        <f>industrie!D18</f>
        <v>17577.6445867</v>
      </c>
      <c r="E8" s="478">
        <f>industrie!E18</f>
        <v>4706.6479022840504</v>
      </c>
      <c r="F8" s="478">
        <f>industrie!F18</f>
        <v>13496.970398951251</v>
      </c>
      <c r="G8" s="478">
        <f>industrie!G18</f>
        <v>0</v>
      </c>
      <c r="H8" s="478">
        <f>industrie!H18</f>
        <v>0</v>
      </c>
      <c r="I8" s="478">
        <f>industrie!I18</f>
        <v>0</v>
      </c>
      <c r="J8" s="478">
        <f>industrie!J18</f>
        <v>9.3705645144836609</v>
      </c>
      <c r="K8" s="478">
        <f>industrie!K18</f>
        <v>0</v>
      </c>
      <c r="L8" s="478">
        <f>industrie!L18</f>
        <v>0</v>
      </c>
      <c r="M8" s="478">
        <f>industrie!M18</f>
        <v>0</v>
      </c>
      <c r="N8" s="478">
        <f>industrie!N18</f>
        <v>5751.5944734276309</v>
      </c>
      <c r="O8" s="478">
        <f>industrie!O18</f>
        <v>0</v>
      </c>
      <c r="P8" s="479">
        <f>industrie!P18</f>
        <v>0</v>
      </c>
      <c r="Q8" s="477">
        <f t="shared" si="0"/>
        <v>64494.775525877412</v>
      </c>
    </row>
    <row r="9" spans="1:17" s="483" customFormat="1">
      <c r="A9" s="481" t="s">
        <v>561</v>
      </c>
      <c r="B9" s="482">
        <f>transport!B14</f>
        <v>86.018020419024765</v>
      </c>
      <c r="C9" s="482">
        <f>transport!C14</f>
        <v>0</v>
      </c>
      <c r="D9" s="482">
        <f>transport!D14</f>
        <v>295.25602785260952</v>
      </c>
      <c r="E9" s="482">
        <f>transport!E14</f>
        <v>397.26036261227978</v>
      </c>
      <c r="F9" s="482">
        <f>transport!F14</f>
        <v>0</v>
      </c>
      <c r="G9" s="482">
        <f>transport!G14</f>
        <v>144145.11222593157</v>
      </c>
      <c r="H9" s="482">
        <f>transport!H14</f>
        <v>33352.73572460741</v>
      </c>
      <c r="I9" s="482">
        <f>transport!I14</f>
        <v>0</v>
      </c>
      <c r="J9" s="482">
        <f>transport!J14</f>
        <v>0</v>
      </c>
      <c r="K9" s="482">
        <f>transport!K14</f>
        <v>0</v>
      </c>
      <c r="L9" s="482">
        <f>transport!L14</f>
        <v>0</v>
      </c>
      <c r="M9" s="482">
        <f>transport!M14</f>
        <v>9411.6406323386982</v>
      </c>
      <c r="N9" s="482">
        <f>transport!N14</f>
        <v>0</v>
      </c>
      <c r="O9" s="482">
        <f>transport!O14</f>
        <v>0</v>
      </c>
      <c r="P9" s="482">
        <f>transport!P14</f>
        <v>0</v>
      </c>
      <c r="Q9" s="481">
        <f>SUM(B9:P9)</f>
        <v>187688.02299376158</v>
      </c>
    </row>
    <row r="10" spans="1:17">
      <c r="A10" s="477" t="s">
        <v>551</v>
      </c>
      <c r="B10" s="478">
        <f>transport!B54</f>
        <v>0</v>
      </c>
      <c r="C10" s="478">
        <f>transport!C54</f>
        <v>0</v>
      </c>
      <c r="D10" s="478">
        <f>transport!D54</f>
        <v>0</v>
      </c>
      <c r="E10" s="478">
        <f>transport!E54</f>
        <v>0</v>
      </c>
      <c r="F10" s="478">
        <f>transport!F54</f>
        <v>0</v>
      </c>
      <c r="G10" s="478">
        <f>transport!G54</f>
        <v>4841.5991104140994</v>
      </c>
      <c r="H10" s="478">
        <f>transport!H54</f>
        <v>0</v>
      </c>
      <c r="I10" s="478">
        <f>transport!I54</f>
        <v>0</v>
      </c>
      <c r="J10" s="478">
        <f>transport!J54</f>
        <v>0</v>
      </c>
      <c r="K10" s="478">
        <f>transport!K54</f>
        <v>0</v>
      </c>
      <c r="L10" s="478">
        <f>transport!L54</f>
        <v>0</v>
      </c>
      <c r="M10" s="478">
        <f>transport!M54</f>
        <v>274.98145586242447</v>
      </c>
      <c r="N10" s="478">
        <f>transport!N54</f>
        <v>0</v>
      </c>
      <c r="O10" s="478">
        <f>transport!O54</f>
        <v>0</v>
      </c>
      <c r="P10" s="479">
        <f>transport!P54</f>
        <v>0</v>
      </c>
      <c r="Q10" s="477">
        <f t="shared" si="0"/>
        <v>5116.5805662765242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130044.50146898761</v>
      </c>
      <c r="C14" s="488">
        <f t="shared" ref="C14:Q14" ca="1" si="1">SUM(C4:C13)</f>
        <v>20603.571428571431</v>
      </c>
      <c r="D14" s="488">
        <f t="shared" ca="1" si="1"/>
        <v>174238.31108519548</v>
      </c>
      <c r="E14" s="488">
        <f t="shared" si="1"/>
        <v>15499.309423725374</v>
      </c>
      <c r="F14" s="488">
        <f t="shared" ca="1" si="1"/>
        <v>116510.44619857747</v>
      </c>
      <c r="G14" s="488">
        <f t="shared" si="1"/>
        <v>148986.71133634567</v>
      </c>
      <c r="H14" s="488">
        <f t="shared" si="1"/>
        <v>33352.73572460741</v>
      </c>
      <c r="I14" s="488">
        <f t="shared" si="1"/>
        <v>0</v>
      </c>
      <c r="J14" s="488">
        <f t="shared" si="1"/>
        <v>4627.6675159921497</v>
      </c>
      <c r="K14" s="488">
        <f t="shared" si="1"/>
        <v>0</v>
      </c>
      <c r="L14" s="488">
        <f t="shared" ca="1" si="1"/>
        <v>0</v>
      </c>
      <c r="M14" s="488">
        <f t="shared" si="1"/>
        <v>9686.6220882011221</v>
      </c>
      <c r="N14" s="488">
        <f t="shared" ca="1" si="1"/>
        <v>40846.049257949693</v>
      </c>
      <c r="O14" s="488">
        <f t="shared" si="1"/>
        <v>429.91666666666669</v>
      </c>
      <c r="P14" s="489">
        <f t="shared" si="1"/>
        <v>877.06666666666672</v>
      </c>
      <c r="Q14" s="489">
        <f t="shared" ca="1" si="1"/>
        <v>695702.90886148671</v>
      </c>
    </row>
    <row r="16" spans="1:17">
      <c r="A16" s="491" t="s">
        <v>556</v>
      </c>
      <c r="B16" s="841">
        <f ca="1">huishoudens!B10</f>
        <v>0.17363911261487208</v>
      </c>
      <c r="C16" s="841">
        <f ca="1">huishoudens!C10</f>
        <v>2.810241350830504E-2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8526.1935500833533</v>
      </c>
      <c r="C21" s="478">
        <f t="shared" ref="C21:C30" ca="1" si="3">C4*$C$16</f>
        <v>0</v>
      </c>
      <c r="D21" s="478">
        <f t="shared" ref="D21:D30" si="4">D4*$D$16</f>
        <v>20924.922389602005</v>
      </c>
      <c r="E21" s="478">
        <f t="shared" ref="E21:E30" si="5">E4*$E$16</f>
        <v>2138.3039530924452</v>
      </c>
      <c r="F21" s="478">
        <f t="shared" ref="F21:F30" si="6">F4*$F$16</f>
        <v>22622.158266914954</v>
      </c>
      <c r="G21" s="478">
        <f t="shared" ref="G21:G30" si="7">G4*$G$16</f>
        <v>0</v>
      </c>
      <c r="H21" s="478">
        <f t="shared" ref="H21:H30" si="8">H4*$H$16</f>
        <v>0</v>
      </c>
      <c r="I21" s="478">
        <f t="shared" ref="I21:I30" si="9">I4*$I$16</f>
        <v>0</v>
      </c>
      <c r="J21" s="478">
        <f t="shared" ref="J21:J30" si="10">J4*$J$16</f>
        <v>1525.3194322235204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55736.897591916277</v>
      </c>
    </row>
    <row r="22" spans="1:17">
      <c r="A22" s="477" t="s">
        <v>156</v>
      </c>
      <c r="B22" s="478">
        <f t="shared" ca="1" si="2"/>
        <v>9329.4442044541393</v>
      </c>
      <c r="C22" s="478">
        <f t="shared" ca="1" si="3"/>
        <v>68.469523197734645</v>
      </c>
      <c r="D22" s="478">
        <f t="shared" ca="1" si="4"/>
        <v>10536.324027807857</v>
      </c>
      <c r="E22" s="478">
        <f t="shared" si="5"/>
        <v>207.20541188481081</v>
      </c>
      <c r="F22" s="478">
        <f t="shared" ca="1" si="6"/>
        <v>2507.4128359965225</v>
      </c>
      <c r="G22" s="478">
        <f t="shared" si="7"/>
        <v>0</v>
      </c>
      <c r="H22" s="478">
        <f t="shared" si="8"/>
        <v>0</v>
      </c>
      <c r="I22" s="478">
        <f t="shared" si="9"/>
        <v>0</v>
      </c>
      <c r="J22" s="478">
        <f t="shared" si="10"/>
        <v>4.8408801118599888E-2</v>
      </c>
      <c r="K22" s="478">
        <f t="shared" si="11"/>
        <v>0</v>
      </c>
      <c r="L22" s="478">
        <f t="shared" ca="1" si="12"/>
        <v>0</v>
      </c>
      <c r="M22" s="478">
        <f t="shared" si="13"/>
        <v>0</v>
      </c>
      <c r="N22" s="478">
        <f t="shared" ca="1" si="14"/>
        <v>0</v>
      </c>
      <c r="O22" s="478">
        <f t="shared" si="15"/>
        <v>0</v>
      </c>
      <c r="P22" s="479">
        <f t="shared" si="16"/>
        <v>0</v>
      </c>
      <c r="Q22" s="477">
        <f t="shared" ref="Q22:Q30" ca="1" si="17">SUM(B22:P22)</f>
        <v>22648.904412142183</v>
      </c>
    </row>
    <row r="23" spans="1:17">
      <c r="A23" s="477" t="s">
        <v>194</v>
      </c>
      <c r="B23" s="478">
        <f t="shared" ca="1" si="2"/>
        <v>354.01941649879137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354.01941649879137</v>
      </c>
    </row>
    <row r="24" spans="1:17">
      <c r="A24" s="477" t="s">
        <v>112</v>
      </c>
      <c r="B24" s="478">
        <f t="shared" ca="1" si="2"/>
        <v>370.7585742330902</v>
      </c>
      <c r="C24" s="478">
        <f t="shared" ca="1" si="3"/>
        <v>510.54056083587892</v>
      </c>
      <c r="D24" s="478">
        <f t="shared" si="4"/>
        <v>124.56649766000001</v>
      </c>
      <c r="E24" s="478">
        <f t="shared" si="5"/>
        <v>14.246698076936807</v>
      </c>
      <c r="F24" s="478">
        <f t="shared" si="6"/>
        <v>2375.0269355887276</v>
      </c>
      <c r="G24" s="478">
        <f t="shared" si="7"/>
        <v>0</v>
      </c>
      <c r="H24" s="478">
        <f t="shared" si="8"/>
        <v>0</v>
      </c>
      <c r="I24" s="478">
        <f t="shared" si="9"/>
        <v>0</v>
      </c>
      <c r="J24" s="478">
        <f t="shared" si="10"/>
        <v>109.5092797984548</v>
      </c>
      <c r="K24" s="478">
        <f t="shared" si="11"/>
        <v>0</v>
      </c>
      <c r="L24" s="478">
        <f t="shared" si="12"/>
        <v>0</v>
      </c>
      <c r="M24" s="478">
        <f t="shared" si="13"/>
        <v>0</v>
      </c>
      <c r="N24" s="478">
        <f t="shared" si="14"/>
        <v>0</v>
      </c>
      <c r="O24" s="478">
        <f t="shared" si="15"/>
        <v>0</v>
      </c>
      <c r="P24" s="479">
        <f t="shared" si="16"/>
        <v>0</v>
      </c>
      <c r="Q24" s="477">
        <f t="shared" ca="1" si="17"/>
        <v>3504.6485461930884</v>
      </c>
    </row>
    <row r="25" spans="1:17">
      <c r="A25" s="477" t="s">
        <v>635</v>
      </c>
      <c r="B25" s="478">
        <f t="shared" ca="1" si="2"/>
        <v>3985.459997514612</v>
      </c>
      <c r="C25" s="478">
        <f t="shared" ca="1" si="3"/>
        <v>0</v>
      </c>
      <c r="D25" s="478">
        <f t="shared" si="4"/>
        <v>3550.6842065134001</v>
      </c>
      <c r="E25" s="478">
        <f t="shared" si="5"/>
        <v>1068.4090738184796</v>
      </c>
      <c r="F25" s="478">
        <f t="shared" si="6"/>
        <v>3603.6910965199841</v>
      </c>
      <c r="G25" s="478">
        <f t="shared" si="7"/>
        <v>0</v>
      </c>
      <c r="H25" s="478">
        <f t="shared" si="8"/>
        <v>0</v>
      </c>
      <c r="I25" s="478">
        <f t="shared" si="9"/>
        <v>0</v>
      </c>
      <c r="J25" s="478">
        <f t="shared" si="10"/>
        <v>3.317179838127216</v>
      </c>
      <c r="K25" s="478">
        <f t="shared" si="11"/>
        <v>0</v>
      </c>
      <c r="L25" s="478">
        <f t="shared" si="12"/>
        <v>0</v>
      </c>
      <c r="M25" s="478">
        <f t="shared" si="13"/>
        <v>0</v>
      </c>
      <c r="N25" s="478">
        <f t="shared" si="14"/>
        <v>0</v>
      </c>
      <c r="O25" s="478">
        <f t="shared" si="15"/>
        <v>0</v>
      </c>
      <c r="P25" s="479">
        <f t="shared" si="16"/>
        <v>0</v>
      </c>
      <c r="Q25" s="477">
        <f t="shared" ca="1" si="17"/>
        <v>12211.561554204602</v>
      </c>
    </row>
    <row r="26" spans="1:17" s="483" customFormat="1">
      <c r="A26" s="481" t="s">
        <v>561</v>
      </c>
      <c r="B26" s="835">
        <f t="shared" ca="1" si="2"/>
        <v>14.936092734447408</v>
      </c>
      <c r="C26" s="482">
        <f t="shared" ca="1" si="3"/>
        <v>0</v>
      </c>
      <c r="D26" s="482">
        <f t="shared" si="4"/>
        <v>59.641717626227127</v>
      </c>
      <c r="E26" s="482">
        <f t="shared" si="5"/>
        <v>90.178102312987519</v>
      </c>
      <c r="F26" s="482">
        <f t="shared" si="6"/>
        <v>0</v>
      </c>
      <c r="G26" s="482">
        <f t="shared" si="7"/>
        <v>38486.744964323734</v>
      </c>
      <c r="H26" s="482">
        <f t="shared" si="8"/>
        <v>8304.8311954272449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46956.332072424637</v>
      </c>
    </row>
    <row r="27" spans="1:17">
      <c r="A27" s="477" t="s">
        <v>551</v>
      </c>
      <c r="B27" s="478">
        <f t="shared" ca="1" si="2"/>
        <v>0</v>
      </c>
      <c r="C27" s="478">
        <f t="shared" ca="1" si="3"/>
        <v>0</v>
      </c>
      <c r="D27" s="478">
        <f t="shared" si="4"/>
        <v>0</v>
      </c>
      <c r="E27" s="478">
        <f t="shared" si="5"/>
        <v>0</v>
      </c>
      <c r="F27" s="478">
        <f t="shared" si="6"/>
        <v>0</v>
      </c>
      <c r="G27" s="478">
        <f t="shared" si="7"/>
        <v>1292.7069624805647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1292.7069624805647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22580.811835518431</v>
      </c>
      <c r="C31" s="488">
        <f t="shared" ca="1" si="18"/>
        <v>579.01008403361357</v>
      </c>
      <c r="D31" s="488">
        <f t="shared" ca="1" si="18"/>
        <v>35196.138839209489</v>
      </c>
      <c r="E31" s="488">
        <f t="shared" si="18"/>
        <v>3518.34323918566</v>
      </c>
      <c r="F31" s="488">
        <f t="shared" ca="1" si="18"/>
        <v>31108.28913502019</v>
      </c>
      <c r="G31" s="488">
        <f t="shared" si="18"/>
        <v>39779.4519268043</v>
      </c>
      <c r="H31" s="488">
        <f t="shared" si="18"/>
        <v>8304.8311954272449</v>
      </c>
      <c r="I31" s="488">
        <f t="shared" si="18"/>
        <v>0</v>
      </c>
      <c r="J31" s="488">
        <f t="shared" si="18"/>
        <v>1638.194300661221</v>
      </c>
      <c r="K31" s="488">
        <f t="shared" si="18"/>
        <v>0</v>
      </c>
      <c r="L31" s="488">
        <f t="shared" ca="1" si="18"/>
        <v>0</v>
      </c>
      <c r="M31" s="488">
        <f t="shared" si="18"/>
        <v>0</v>
      </c>
      <c r="N31" s="488">
        <f t="shared" ca="1" si="18"/>
        <v>0</v>
      </c>
      <c r="O31" s="488">
        <f t="shared" si="18"/>
        <v>0</v>
      </c>
      <c r="P31" s="489">
        <f t="shared" si="18"/>
        <v>0</v>
      </c>
      <c r="Q31" s="489">
        <f t="shared" ca="1" si="18"/>
        <v>142705.07055586015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0.17363911261487208</v>
      </c>
      <c r="C17" s="528">
        <f ca="1">'EF ele_warmte'!B22</f>
        <v>2.810241350830504E-2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0.17363911261487208</v>
      </c>
      <c r="C17" s="528">
        <f ca="1">'EF ele_warmte'!B22</f>
        <v>2.810241350830504E-2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0.17363911261487208</v>
      </c>
      <c r="C29" s="529">
        <f ca="1">'EF ele_warmte'!B22</f>
        <v>2.810241350830504E-2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13256</v>
      </c>
      <c r="C9" s="342">
        <v>13327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5748.01</v>
      </c>
    </row>
    <row r="15" spans="1:6">
      <c r="A15" s="348" t="s">
        <v>184</v>
      </c>
      <c r="B15" s="334">
        <v>13</v>
      </c>
    </row>
    <row r="16" spans="1:6">
      <c r="A16" s="348" t="s">
        <v>6</v>
      </c>
      <c r="B16" s="334">
        <v>492</v>
      </c>
    </row>
    <row r="17" spans="1:6">
      <c r="A17" s="348" t="s">
        <v>7</v>
      </c>
      <c r="B17" s="334">
        <v>1155</v>
      </c>
    </row>
    <row r="18" spans="1:6">
      <c r="A18" s="348" t="s">
        <v>8</v>
      </c>
      <c r="B18" s="334">
        <v>1331</v>
      </c>
    </row>
    <row r="19" spans="1:6">
      <c r="A19" s="348" t="s">
        <v>9</v>
      </c>
      <c r="B19" s="334">
        <v>1080</v>
      </c>
    </row>
    <row r="20" spans="1:6">
      <c r="A20" s="348" t="s">
        <v>10</v>
      </c>
      <c r="B20" s="334">
        <v>699</v>
      </c>
    </row>
    <row r="21" spans="1:6">
      <c r="A21" s="348" t="s">
        <v>11</v>
      </c>
      <c r="B21" s="334">
        <v>5173</v>
      </c>
    </row>
    <row r="22" spans="1:6">
      <c r="A22" s="348" t="s">
        <v>12</v>
      </c>
      <c r="B22" s="334">
        <v>14600</v>
      </c>
    </row>
    <row r="23" spans="1:6">
      <c r="A23" s="348" t="s">
        <v>13</v>
      </c>
      <c r="B23" s="334">
        <v>166</v>
      </c>
    </row>
    <row r="24" spans="1:6">
      <c r="A24" s="348" t="s">
        <v>14</v>
      </c>
      <c r="B24" s="334">
        <v>9</v>
      </c>
    </row>
    <row r="25" spans="1:6">
      <c r="A25" s="348" t="s">
        <v>15</v>
      </c>
      <c r="B25" s="334">
        <v>1153</v>
      </c>
    </row>
    <row r="26" spans="1:6">
      <c r="A26" s="348" t="s">
        <v>16</v>
      </c>
      <c r="B26" s="334">
        <v>125</v>
      </c>
    </row>
    <row r="27" spans="1:6">
      <c r="A27" s="348" t="s">
        <v>17</v>
      </c>
      <c r="B27" s="334">
        <v>0</v>
      </c>
    </row>
    <row r="28" spans="1:6" s="356" customFormat="1">
      <c r="A28" s="355" t="s">
        <v>18</v>
      </c>
      <c r="B28" s="355">
        <v>145517</v>
      </c>
    </row>
    <row r="29" spans="1:6">
      <c r="A29" s="355" t="s">
        <v>744</v>
      </c>
      <c r="B29" s="355">
        <v>71</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19</v>
      </c>
      <c r="F36" s="334">
        <v>25210451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7492</v>
      </c>
      <c r="D39" s="334">
        <v>114843375.50000001</v>
      </c>
      <c r="E39" s="334">
        <v>13389</v>
      </c>
      <c r="F39" s="334">
        <v>43237947.899999999</v>
      </c>
    </row>
    <row r="40" spans="1:6">
      <c r="A40" s="348" t="s">
        <v>30</v>
      </c>
      <c r="B40" s="348" t="s">
        <v>29</v>
      </c>
      <c r="C40" s="334">
        <v>0</v>
      </c>
      <c r="D40" s="334">
        <v>0</v>
      </c>
      <c r="E40" s="334">
        <v>0</v>
      </c>
      <c r="F40" s="334">
        <v>0</v>
      </c>
    </row>
    <row r="41" spans="1:6">
      <c r="A41" s="348" t="s">
        <v>32</v>
      </c>
      <c r="B41" s="348" t="s">
        <v>33</v>
      </c>
      <c r="C41" s="334">
        <v>125</v>
      </c>
      <c r="D41" s="334">
        <v>11914544.25</v>
      </c>
      <c r="E41" s="334">
        <v>301</v>
      </c>
      <c r="F41" s="334">
        <v>15875408.050000001</v>
      </c>
    </row>
    <row r="42" spans="1:6">
      <c r="A42" s="348" t="s">
        <v>32</v>
      </c>
      <c r="B42" s="348" t="s">
        <v>34</v>
      </c>
      <c r="C42" s="334">
        <v>0</v>
      </c>
      <c r="D42" s="334">
        <v>0</v>
      </c>
      <c r="E42" s="334">
        <v>0</v>
      </c>
      <c r="F42" s="334">
        <v>0</v>
      </c>
    </row>
    <row r="43" spans="1:6">
      <c r="A43" s="348" t="s">
        <v>32</v>
      </c>
      <c r="B43" s="348" t="s">
        <v>35</v>
      </c>
      <c r="C43" s="334">
        <v>0</v>
      </c>
      <c r="D43" s="334">
        <v>0</v>
      </c>
      <c r="E43" s="334">
        <v>3</v>
      </c>
      <c r="F43" s="334">
        <v>51839</v>
      </c>
    </row>
    <row r="44" spans="1:6">
      <c r="A44" s="348" t="s">
        <v>32</v>
      </c>
      <c r="B44" s="348" t="s">
        <v>36</v>
      </c>
      <c r="C44" s="334">
        <v>16</v>
      </c>
      <c r="D44" s="334">
        <v>6438302</v>
      </c>
      <c r="E44" s="334">
        <v>48</v>
      </c>
      <c r="F44" s="334">
        <v>5639215</v>
      </c>
    </row>
    <row r="45" spans="1:6">
      <c r="A45" s="348" t="s">
        <v>32</v>
      </c>
      <c r="B45" s="348" t="s">
        <v>37</v>
      </c>
      <c r="C45" s="334">
        <v>3</v>
      </c>
      <c r="D45" s="334">
        <v>161340</v>
      </c>
      <c r="E45" s="334">
        <v>6</v>
      </c>
      <c r="F45" s="334">
        <v>403087</v>
      </c>
    </row>
    <row r="46" spans="1:6">
      <c r="A46" s="348" t="s">
        <v>32</v>
      </c>
      <c r="B46" s="348" t="s">
        <v>38</v>
      </c>
      <c r="C46" s="334">
        <v>0</v>
      </c>
      <c r="D46" s="334">
        <v>0</v>
      </c>
      <c r="E46" s="334">
        <v>4</v>
      </c>
      <c r="F46" s="334">
        <v>30363</v>
      </c>
    </row>
    <row r="47" spans="1:6">
      <c r="A47" s="348" t="s">
        <v>32</v>
      </c>
      <c r="B47" s="348" t="s">
        <v>39</v>
      </c>
      <c r="C47" s="334">
        <v>4</v>
      </c>
      <c r="D47" s="334">
        <v>150494</v>
      </c>
      <c r="E47" s="334">
        <v>6</v>
      </c>
      <c r="F47" s="334">
        <v>96863</v>
      </c>
    </row>
    <row r="48" spans="1:6">
      <c r="A48" s="348" t="s">
        <v>32</v>
      </c>
      <c r="B48" s="348" t="s">
        <v>29</v>
      </c>
      <c r="C48" s="334">
        <v>0</v>
      </c>
      <c r="D48" s="334">
        <v>0</v>
      </c>
      <c r="E48" s="334">
        <v>0</v>
      </c>
      <c r="F48" s="334">
        <v>0</v>
      </c>
    </row>
    <row r="49" spans="1:6">
      <c r="A49" s="348" t="s">
        <v>32</v>
      </c>
      <c r="B49" s="348" t="s">
        <v>40</v>
      </c>
      <c r="C49" s="334">
        <v>3</v>
      </c>
      <c r="D49" s="334">
        <v>376189</v>
      </c>
      <c r="E49" s="334">
        <v>6</v>
      </c>
      <c r="F49" s="334">
        <v>230662</v>
      </c>
    </row>
    <row r="50" spans="1:6">
      <c r="A50" s="348" t="s">
        <v>32</v>
      </c>
      <c r="B50" s="348" t="s">
        <v>41</v>
      </c>
      <c r="C50" s="334">
        <v>10</v>
      </c>
      <c r="D50" s="334">
        <v>446541.6</v>
      </c>
      <c r="E50" s="334">
        <v>23</v>
      </c>
      <c r="F50" s="334">
        <v>625110.55000000005</v>
      </c>
    </row>
    <row r="51" spans="1:6">
      <c r="A51" s="348" t="s">
        <v>42</v>
      </c>
      <c r="B51" s="348" t="s">
        <v>43</v>
      </c>
      <c r="C51" s="334">
        <v>21</v>
      </c>
      <c r="D51" s="334">
        <v>683665</v>
      </c>
      <c r="E51" s="334">
        <v>165</v>
      </c>
      <c r="F51" s="334">
        <v>2135225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2038823</v>
      </c>
    </row>
    <row r="55" spans="1:6">
      <c r="A55" s="348" t="s">
        <v>46</v>
      </c>
      <c r="B55" s="348" t="s">
        <v>29</v>
      </c>
      <c r="C55" s="334">
        <v>0</v>
      </c>
      <c r="D55" s="334">
        <v>0</v>
      </c>
      <c r="E55" s="334">
        <v>0</v>
      </c>
      <c r="F55" s="334">
        <v>0</v>
      </c>
    </row>
    <row r="56" spans="1:6">
      <c r="A56" s="348" t="s">
        <v>48</v>
      </c>
      <c r="B56" s="348" t="s">
        <v>29</v>
      </c>
      <c r="C56" s="334">
        <v>7</v>
      </c>
      <c r="D56" s="334">
        <v>544084</v>
      </c>
      <c r="E56" s="334">
        <v>11</v>
      </c>
      <c r="F56" s="334">
        <v>454888</v>
      </c>
    </row>
    <row r="57" spans="1:6">
      <c r="A57" s="348" t="s">
        <v>49</v>
      </c>
      <c r="B57" s="348" t="s">
        <v>50</v>
      </c>
      <c r="C57" s="334">
        <v>87</v>
      </c>
      <c r="D57" s="334">
        <v>4798302.5999999996</v>
      </c>
      <c r="E57" s="334">
        <v>265</v>
      </c>
      <c r="F57" s="334">
        <v>6299987.1500000004</v>
      </c>
    </row>
    <row r="58" spans="1:6">
      <c r="A58" s="348" t="s">
        <v>49</v>
      </c>
      <c r="B58" s="348" t="s">
        <v>51</v>
      </c>
      <c r="C58" s="334">
        <v>61</v>
      </c>
      <c r="D58" s="334">
        <v>13188418.699999999</v>
      </c>
      <c r="E58" s="334">
        <v>101</v>
      </c>
      <c r="F58" s="334">
        <v>5482679</v>
      </c>
    </row>
    <row r="59" spans="1:6">
      <c r="A59" s="348" t="s">
        <v>49</v>
      </c>
      <c r="B59" s="348" t="s">
        <v>52</v>
      </c>
      <c r="C59" s="334">
        <v>250</v>
      </c>
      <c r="D59" s="334">
        <v>13651305.649999999</v>
      </c>
      <c r="E59" s="334">
        <v>499</v>
      </c>
      <c r="F59" s="334">
        <v>22374623.200000003</v>
      </c>
    </row>
    <row r="60" spans="1:6">
      <c r="A60" s="348" t="s">
        <v>49</v>
      </c>
      <c r="B60" s="348" t="s">
        <v>53</v>
      </c>
      <c r="C60" s="334">
        <v>98</v>
      </c>
      <c r="D60" s="334">
        <v>5153552.5999999996</v>
      </c>
      <c r="E60" s="334">
        <v>147</v>
      </c>
      <c r="F60" s="334">
        <v>4659497</v>
      </c>
    </row>
    <row r="61" spans="1:6">
      <c r="A61" s="348" t="s">
        <v>49</v>
      </c>
      <c r="B61" s="348" t="s">
        <v>54</v>
      </c>
      <c r="C61" s="334">
        <v>235</v>
      </c>
      <c r="D61" s="334">
        <v>20809492.200000003</v>
      </c>
      <c r="E61" s="334">
        <v>564</v>
      </c>
      <c r="F61" s="334">
        <v>11441926.400000004</v>
      </c>
    </row>
    <row r="62" spans="1:6">
      <c r="A62" s="348" t="s">
        <v>49</v>
      </c>
      <c r="B62" s="348" t="s">
        <v>55</v>
      </c>
      <c r="C62" s="334">
        <v>27</v>
      </c>
      <c r="D62" s="334">
        <v>5628282</v>
      </c>
      <c r="E62" s="334">
        <v>41</v>
      </c>
      <c r="F62" s="334">
        <v>1764720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11</v>
      </c>
      <c r="D68" s="334">
        <v>2645080</v>
      </c>
      <c r="E68" s="334">
        <v>21</v>
      </c>
      <c r="F68" s="334">
        <v>581421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172575705</v>
      </c>
      <c r="E73" s="476">
        <v>163722688.327299</v>
      </c>
    </row>
    <row r="74" spans="1:6">
      <c r="A74" s="348" t="s">
        <v>64</v>
      </c>
      <c r="B74" s="348" t="s">
        <v>657</v>
      </c>
      <c r="C74" s="1213" t="s">
        <v>659</v>
      </c>
      <c r="D74" s="476">
        <v>13450321.919132506</v>
      </c>
      <c r="E74" s="476">
        <v>13044559.921803383</v>
      </c>
    </row>
    <row r="75" spans="1:6">
      <c r="A75" s="348" t="s">
        <v>65</v>
      </c>
      <c r="B75" s="348" t="s">
        <v>656</v>
      </c>
      <c r="C75" s="1213" t="s">
        <v>660</v>
      </c>
      <c r="D75" s="476">
        <v>40231133</v>
      </c>
      <c r="E75" s="476">
        <v>37863168.629733533</v>
      </c>
    </row>
    <row r="76" spans="1:6">
      <c r="A76" s="348" t="s">
        <v>65</v>
      </c>
      <c r="B76" s="348" t="s">
        <v>657</v>
      </c>
      <c r="C76" s="1213" t="s">
        <v>661</v>
      </c>
      <c r="D76" s="476">
        <v>1539206.9191325055</v>
      </c>
      <c r="E76" s="476">
        <v>1415035.6286223915</v>
      </c>
    </row>
    <row r="77" spans="1:6">
      <c r="A77" s="348" t="s">
        <v>66</v>
      </c>
      <c r="B77" s="348" t="s">
        <v>656</v>
      </c>
      <c r="C77" s="1213" t="s">
        <v>662</v>
      </c>
      <c r="D77" s="476">
        <v>5844143</v>
      </c>
      <c r="E77" s="476">
        <v>5947846.2423654459</v>
      </c>
    </row>
    <row r="78" spans="1:6">
      <c r="A78" s="341" t="s">
        <v>66</v>
      </c>
      <c r="B78" s="341" t="s">
        <v>657</v>
      </c>
      <c r="C78" s="341" t="s">
        <v>663</v>
      </c>
      <c r="D78" s="1214">
        <v>1389223</v>
      </c>
      <c r="E78" s="1214">
        <v>1229886.8693468955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1387702.1617349887</v>
      </c>
      <c r="C83" s="476">
        <v>1418993.3546056566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17.590620040955631</v>
      </c>
    </row>
    <row r="90" spans="1:6">
      <c r="A90" s="348" t="s">
        <v>549</v>
      </c>
      <c r="B90" s="1215">
        <v>0</v>
      </c>
    </row>
    <row r="91" spans="1:6">
      <c r="A91" s="348" t="s">
        <v>68</v>
      </c>
      <c r="B91" s="334">
        <v>5865.0071985685609</v>
      </c>
    </row>
    <row r="92" spans="1:6">
      <c r="A92" s="341" t="s">
        <v>69</v>
      </c>
      <c r="B92" s="342">
        <v>9397.7530770979556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4164</v>
      </c>
    </row>
    <row r="98" spans="1:6">
      <c r="A98" s="348" t="s">
        <v>72</v>
      </c>
      <c r="B98" s="334">
        <v>7</v>
      </c>
    </row>
    <row r="99" spans="1:6">
      <c r="A99" s="348" t="s">
        <v>73</v>
      </c>
      <c r="B99" s="334">
        <v>116</v>
      </c>
    </row>
    <row r="100" spans="1:6">
      <c r="A100" s="348" t="s">
        <v>74</v>
      </c>
      <c r="B100" s="334">
        <v>384</v>
      </c>
    </row>
    <row r="101" spans="1:6">
      <c r="A101" s="348" t="s">
        <v>75</v>
      </c>
      <c r="B101" s="334">
        <v>107</v>
      </c>
    </row>
    <row r="102" spans="1:6">
      <c r="A102" s="348" t="s">
        <v>76</v>
      </c>
      <c r="B102" s="334">
        <v>176</v>
      </c>
    </row>
    <row r="103" spans="1:6">
      <c r="A103" s="348" t="s">
        <v>77</v>
      </c>
      <c r="B103" s="334">
        <v>455</v>
      </c>
    </row>
    <row r="104" spans="1:6">
      <c r="A104" s="348" t="s">
        <v>78</v>
      </c>
      <c r="B104" s="334">
        <v>6268</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19</v>
      </c>
      <c r="C123" s="334">
        <v>91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1</v>
      </c>
    </row>
    <row r="131" spans="1:6">
      <c r="A131" s="348" t="s">
        <v>296</v>
      </c>
      <c r="B131" s="334">
        <v>4</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130044.5014689876</v>
      </c>
      <c r="C3" s="43" t="s">
        <v>170</v>
      </c>
      <c r="D3" s="43"/>
      <c r="E3" s="154"/>
      <c r="F3" s="43"/>
      <c r="G3" s="43"/>
      <c r="H3" s="43"/>
      <c r="I3" s="43"/>
      <c r="J3" s="43"/>
      <c r="K3" s="96"/>
    </row>
    <row r="4" spans="1:11">
      <c r="A4" s="383" t="s">
        <v>171</v>
      </c>
      <c r="B4" s="49">
        <f>IF(ISERROR('SEAP template'!B69),0,'SEAP template'!B69)</f>
        <v>29702.850895707474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405.30705882352942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0.17363911261487208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579.01008403361357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20603.571428571431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2.810241350830504E-2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2038.8230000000001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0.17363911261487208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354.01941649879137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43237.947899999999</v>
      </c>
      <c r="C5" s="17">
        <f>IF(ISERROR('Eigen informatie GS &amp; warmtenet'!B57),0,'Eigen informatie GS &amp; warmtenet'!B57)</f>
        <v>0</v>
      </c>
      <c r="D5" s="30">
        <f>(SUM(HH_hh_gas_kWh,HH_rest_gas_kWh)/1000)*0.902</f>
        <v>103588.72470100001</v>
      </c>
      <c r="E5" s="17">
        <f>B46*B57</f>
        <v>9419.8412030504187</v>
      </c>
      <c r="F5" s="17">
        <f>B51*B62</f>
        <v>84727.184520280716</v>
      </c>
      <c r="G5" s="18"/>
      <c r="H5" s="17"/>
      <c r="I5" s="17"/>
      <c r="J5" s="17">
        <f>B50*B61+C50*C61</f>
        <v>4308.8119554336736</v>
      </c>
      <c r="K5" s="17"/>
      <c r="L5" s="17"/>
      <c r="M5" s="17"/>
      <c r="N5" s="17">
        <f>B48*B59+C48*C59</f>
        <v>29611.611181105822</v>
      </c>
      <c r="O5" s="17">
        <f>B69*B70*B71</f>
        <v>428.35333333333335</v>
      </c>
      <c r="P5" s="17">
        <f>B77*B78*B79/1000-B77*B78*B79/1000/B80</f>
        <v>781.73333333333335</v>
      </c>
    </row>
    <row r="6" spans="1:16">
      <c r="A6" s="16" t="s">
        <v>621</v>
      </c>
      <c r="B6" s="843">
        <f>kWh_PV_kleiner_dan_10kW</f>
        <v>5865.0071985685609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49102.955098568564</v>
      </c>
      <c r="C8" s="21">
        <f>C5</f>
        <v>0</v>
      </c>
      <c r="D8" s="21">
        <f>D5</f>
        <v>103588.72470100001</v>
      </c>
      <c r="E8" s="21">
        <f>E5</f>
        <v>9419.8412030504187</v>
      </c>
      <c r="F8" s="21">
        <f>F5</f>
        <v>84727.184520280716</v>
      </c>
      <c r="G8" s="21"/>
      <c r="H8" s="21"/>
      <c r="I8" s="21"/>
      <c r="J8" s="21">
        <f>J5</f>
        <v>4308.8119554336736</v>
      </c>
      <c r="K8" s="21"/>
      <c r="L8" s="21">
        <f>L5</f>
        <v>0</v>
      </c>
      <c r="M8" s="21">
        <f>M5</f>
        <v>0</v>
      </c>
      <c r="N8" s="21">
        <f>N5</f>
        <v>29611.611181105822</v>
      </c>
      <c r="O8" s="21">
        <f>O5</f>
        <v>428.35333333333335</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0.17363911261487208</v>
      </c>
      <c r="C10" s="25">
        <f ca="1">'EF ele_warmte'!B22</f>
        <v>2.810241350830504E-2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8526.1935500833533</v>
      </c>
      <c r="C12" s="23">
        <f ca="1">C10*C8</f>
        <v>0</v>
      </c>
      <c r="D12" s="23">
        <f>D8*D10</f>
        <v>20924.922389602005</v>
      </c>
      <c r="E12" s="23">
        <f>E10*E8</f>
        <v>2138.3039530924452</v>
      </c>
      <c r="F12" s="23">
        <f>F10*F8</f>
        <v>22622.158266914954</v>
      </c>
      <c r="G12" s="23"/>
      <c r="H12" s="23"/>
      <c r="I12" s="23"/>
      <c r="J12" s="23">
        <f>J10*J8</f>
        <v>1525.3194322235204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4164</v>
      </c>
      <c r="C18" s="166" t="s">
        <v>111</v>
      </c>
      <c r="D18" s="228"/>
      <c r="E18" s="15"/>
    </row>
    <row r="19" spans="1:7">
      <c r="A19" s="171" t="s">
        <v>72</v>
      </c>
      <c r="B19" s="37">
        <f>aantalw2001_ander</f>
        <v>7</v>
      </c>
      <c r="C19" s="166" t="s">
        <v>111</v>
      </c>
      <c r="D19" s="229"/>
      <c r="E19" s="15"/>
    </row>
    <row r="20" spans="1:7">
      <c r="A20" s="171" t="s">
        <v>73</v>
      </c>
      <c r="B20" s="37">
        <f>aantalw2001_propaan</f>
        <v>116</v>
      </c>
      <c r="C20" s="167">
        <f>IF(ISERROR(B20/SUM($B$20,$B$21,$B$22)*100),0,B20/SUM($B$20,$B$21,$B$22)*100)</f>
        <v>19.110378912685338</v>
      </c>
      <c r="D20" s="229"/>
      <c r="E20" s="15"/>
    </row>
    <row r="21" spans="1:7">
      <c r="A21" s="171" t="s">
        <v>74</v>
      </c>
      <c r="B21" s="37">
        <f>aantalw2001_elektriciteit</f>
        <v>384</v>
      </c>
      <c r="C21" s="167">
        <f>IF(ISERROR(B21/SUM($B$20,$B$21,$B$22)*100),0,B21/SUM($B$20,$B$21,$B$22)*100)</f>
        <v>63.261943986820427</v>
      </c>
      <c r="D21" s="229"/>
      <c r="E21" s="15"/>
    </row>
    <row r="22" spans="1:7">
      <c r="A22" s="171" t="s">
        <v>75</v>
      </c>
      <c r="B22" s="37">
        <f>aantalw2001_hout</f>
        <v>107</v>
      </c>
      <c r="C22" s="167">
        <f>IF(ISERROR(B22/SUM($B$20,$B$21,$B$22)*100),0,B22/SUM($B$20,$B$21,$B$22)*100)</f>
        <v>17.627677100494235</v>
      </c>
      <c r="D22" s="229"/>
      <c r="E22" s="15"/>
    </row>
    <row r="23" spans="1:7">
      <c r="A23" s="171" t="s">
        <v>76</v>
      </c>
      <c r="B23" s="37">
        <f>aantalw2001_niet_gespec</f>
        <v>176</v>
      </c>
      <c r="C23" s="166" t="s">
        <v>111</v>
      </c>
      <c r="D23" s="228"/>
      <c r="E23" s="15"/>
    </row>
    <row r="24" spans="1:7">
      <c r="A24" s="171" t="s">
        <v>77</v>
      </c>
      <c r="B24" s="37">
        <f>aantalw2001_steenkool</f>
        <v>455</v>
      </c>
      <c r="C24" s="166" t="s">
        <v>111</v>
      </c>
      <c r="D24" s="229"/>
      <c r="E24" s="15"/>
    </row>
    <row r="25" spans="1:7">
      <c r="A25" s="171" t="s">
        <v>78</v>
      </c>
      <c r="B25" s="37">
        <f>aantalw2001_stookolie</f>
        <v>6268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13256</v>
      </c>
      <c r="C28" s="36"/>
      <c r="D28" s="228"/>
    </row>
    <row r="29" spans="1:7" s="15" customFormat="1">
      <c r="A29" s="230" t="s">
        <v>795</v>
      </c>
      <c r="B29" s="37">
        <f>SUM(HH_hh_gas_aantal,HH_rest_gas_aantal)</f>
        <v>7492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7492</v>
      </c>
      <c r="C32" s="167">
        <f>IF(ISERROR(B32/SUM($B$32,$B$34,$B$35,$B$36,$B$38,$B$39)*100),0,B32/SUM($B$32,$B$34,$B$35,$B$36,$B$38,$B$39)*100)</f>
        <v>56.693151721528565</v>
      </c>
      <c r="D32" s="233"/>
      <c r="G32" s="15"/>
    </row>
    <row r="33" spans="1:7">
      <c r="A33" s="171" t="s">
        <v>72</v>
      </c>
      <c r="B33" s="34" t="s">
        <v>111</v>
      </c>
      <c r="C33" s="167"/>
      <c r="D33" s="233"/>
      <c r="G33" s="15"/>
    </row>
    <row r="34" spans="1:7">
      <c r="A34" s="171" t="s">
        <v>73</v>
      </c>
      <c r="B34" s="33">
        <f>IF((($B$28-$B$32-$B$39-$B$77-$B$38)*C20/100)&lt;0,0,($B$28-$B$32-$B$39-$B$77-$B$38)*C20/100)</f>
        <v>444.88962108731471</v>
      </c>
      <c r="C34" s="167">
        <f>IF(ISERROR(B34/SUM($B$32,$B$34,$B$35,$B$36,$B$38,$B$39)*100),0,B34/SUM($B$32,$B$34,$B$35,$B$36,$B$38,$B$39)*100)</f>
        <v>3.3665502919963277</v>
      </c>
      <c r="D34" s="233"/>
      <c r="G34" s="15"/>
    </row>
    <row r="35" spans="1:7">
      <c r="A35" s="171" t="s">
        <v>74</v>
      </c>
      <c r="B35" s="33">
        <f>IF((($B$28-$B$32-$B$39-$B$77-$B$38)*C21/100)&lt;0,0,($B$28-$B$32-$B$39-$B$77-$B$38)*C21/100)</f>
        <v>1472.7380560131799</v>
      </c>
      <c r="C35" s="167">
        <f>IF(ISERROR(B35/SUM($B$32,$B$34,$B$35,$B$36,$B$38,$B$39)*100),0,B35/SUM($B$32,$B$34,$B$35,$B$36,$B$38,$B$39)*100)</f>
        <v>11.144442345918879</v>
      </c>
      <c r="D35" s="233"/>
      <c r="G35" s="15"/>
    </row>
    <row r="36" spans="1:7">
      <c r="A36" s="171" t="s">
        <v>75</v>
      </c>
      <c r="B36" s="33">
        <f>IF((($B$28-$B$32-$B$39-$B$77-$B$38)*C22/100)&lt;0,0,($B$28-$B$32-$B$39-$B$77-$B$38)*C22/100)</f>
        <v>410.37232289950589</v>
      </c>
      <c r="C36" s="167">
        <f>IF(ISERROR(B36/SUM($B$32,$B$34,$B$35,$B$36,$B$38,$B$39)*100),0,B36/SUM($B$32,$B$34,$B$35,$B$36,$B$38,$B$39)*100)</f>
        <v>3.1053524245138546</v>
      </c>
      <c r="D36" s="233"/>
      <c r="G36" s="15"/>
    </row>
    <row r="37" spans="1:7">
      <c r="A37" s="171" t="s">
        <v>76</v>
      </c>
      <c r="B37" s="34" t="s">
        <v>111</v>
      </c>
      <c r="C37" s="167"/>
      <c r="D37" s="173"/>
      <c r="G37" s="15"/>
    </row>
    <row r="38" spans="1:7">
      <c r="A38" s="171" t="s">
        <v>77</v>
      </c>
      <c r="B38" s="33">
        <f>IF((B24-(B29-B18)*0.1)&lt;0,0,B24-(B29-B18)*0.1)</f>
        <v>122.19999999999999</v>
      </c>
      <c r="C38" s="167">
        <f>IF(ISERROR(B38/SUM($B$32,$B$34,$B$35,$B$36,$B$38,$B$39)*100),0,B38/SUM($B$32,$B$34,$B$35,$B$36,$B$38,$B$39)*100)</f>
        <v>0.92470677260688605</v>
      </c>
      <c r="D38" s="234"/>
      <c r="G38" s="15"/>
    </row>
    <row r="39" spans="1:7">
      <c r="A39" s="171" t="s">
        <v>78</v>
      </c>
      <c r="B39" s="33">
        <f>IF((B25-(B29-B18))&lt;0,0,B25-(B29-B18)*0.9)</f>
        <v>3272.7999999999997</v>
      </c>
      <c r="C39" s="167">
        <f>IF(ISERROR(B39/SUM($B$32,$B$34,$B$35,$B$36,$B$38,$B$39)*100),0,B39/SUM($B$32,$B$34,$B$35,$B$36,$B$38,$B$39)*100)</f>
        <v>24.765796443435487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7492</v>
      </c>
      <c r="C44" s="34" t="s">
        <v>111</v>
      </c>
      <c r="D44" s="174"/>
    </row>
    <row r="45" spans="1:7">
      <c r="A45" s="171" t="s">
        <v>72</v>
      </c>
      <c r="B45" s="33" t="str">
        <f t="shared" si="0"/>
        <v>-</v>
      </c>
      <c r="C45" s="34" t="s">
        <v>111</v>
      </c>
      <c r="D45" s="174"/>
    </row>
    <row r="46" spans="1:7">
      <c r="A46" s="171" t="s">
        <v>73</v>
      </c>
      <c r="B46" s="33">
        <f t="shared" si="0"/>
        <v>444.88962108731471</v>
      </c>
      <c r="C46" s="34" t="s">
        <v>111</v>
      </c>
      <c r="D46" s="174"/>
    </row>
    <row r="47" spans="1:7">
      <c r="A47" s="171" t="s">
        <v>74</v>
      </c>
      <c r="B47" s="33">
        <f t="shared" si="0"/>
        <v>1472.7380560131799</v>
      </c>
      <c r="C47" s="34" t="s">
        <v>111</v>
      </c>
      <c r="D47" s="174"/>
    </row>
    <row r="48" spans="1:7">
      <c r="A48" s="171" t="s">
        <v>75</v>
      </c>
      <c r="B48" s="33">
        <f t="shared" si="0"/>
        <v>410.37232289950589</v>
      </c>
      <c r="C48" s="33">
        <f>B48*10</f>
        <v>4103.7232289950589</v>
      </c>
      <c r="D48" s="234"/>
    </row>
    <row r="49" spans="1:6">
      <c r="A49" s="171" t="s">
        <v>76</v>
      </c>
      <c r="B49" s="33" t="str">
        <f t="shared" si="0"/>
        <v>-</v>
      </c>
      <c r="C49" s="34" t="s">
        <v>111</v>
      </c>
      <c r="D49" s="234"/>
    </row>
    <row r="50" spans="1:6">
      <c r="A50" s="171" t="s">
        <v>77</v>
      </c>
      <c r="B50" s="33">
        <f t="shared" si="0"/>
        <v>122.19999999999999</v>
      </c>
      <c r="C50" s="33">
        <f>B50*2</f>
        <v>244.39999999999998</v>
      </c>
      <c r="D50" s="234"/>
    </row>
    <row r="51" spans="1:6">
      <c r="A51" s="171" t="s">
        <v>78</v>
      </c>
      <c r="B51" s="33">
        <f t="shared" si="0"/>
        <v>3272.7999999999997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52023.432750000007</v>
      </c>
      <c r="C5" s="17">
        <f>IF(ISERROR('Eigen informatie GS &amp; warmtenet'!B58),0,'Eigen informatie GS &amp; warmtenet'!B58)</f>
        <v>0</v>
      </c>
      <c r="D5" s="30">
        <f>SUM(D6:D12)</f>
        <v>57032.877082500003</v>
      </c>
      <c r="E5" s="17">
        <f>SUM(E6:E12)</f>
        <v>912.79917129872604</v>
      </c>
      <c r="F5" s="17">
        <f>SUM(F6:F12)</f>
        <v>9391.059310848399</v>
      </c>
      <c r="G5" s="18"/>
      <c r="H5" s="17"/>
      <c r="I5" s="17"/>
      <c r="J5" s="17">
        <f>SUM(J6:J12)</f>
        <v>0.13674802575875675</v>
      </c>
      <c r="K5" s="17"/>
      <c r="L5" s="17"/>
      <c r="M5" s="17"/>
      <c r="N5" s="17">
        <f>SUM(N6:N12)</f>
        <v>5482.8436034162423</v>
      </c>
      <c r="O5" s="17">
        <f>B38*B39*B40</f>
        <v>1.5633333333333335</v>
      </c>
      <c r="P5" s="17">
        <f>B46*B47*B48/1000-B46*B47*B48/1000/B49</f>
        <v>95.333333333333343</v>
      </c>
      <c r="R5" s="32"/>
    </row>
    <row r="6" spans="1:18">
      <c r="A6" s="32" t="s">
        <v>54</v>
      </c>
      <c r="B6" s="37">
        <f>B26</f>
        <v>11441.926400000004</v>
      </c>
      <c r="C6" s="33"/>
      <c r="D6" s="37">
        <f>IF(ISERROR(TER_kantoor_gas_kWh/1000),0,TER_kantoor_gas_kWh/1000)*0.902</f>
        <v>18770.161964400006</v>
      </c>
      <c r="E6" s="33">
        <f>$C$26*'E Balans VL '!I12/100/3.6*1000000</f>
        <v>7.1714189150098306E-2</v>
      </c>
      <c r="F6" s="33">
        <f>$C$26*('E Balans VL '!L12+'E Balans VL '!N12)/100/3.6*1000000</f>
        <v>1719.4018200036837</v>
      </c>
      <c r="G6" s="34"/>
      <c r="H6" s="33"/>
      <c r="I6" s="33"/>
      <c r="J6" s="33">
        <f>$C$26*('E Balans VL '!D12+'E Balans VL '!E12)/100/3.6*1000000</f>
        <v>0</v>
      </c>
      <c r="K6" s="33"/>
      <c r="L6" s="33"/>
      <c r="M6" s="33"/>
      <c r="N6" s="33">
        <f>$C$26*'E Balans VL '!Y12/100/3.6*1000000</f>
        <v>10.942506149835522</v>
      </c>
      <c r="O6" s="33"/>
      <c r="P6" s="33"/>
      <c r="R6" s="32"/>
    </row>
    <row r="7" spans="1:18">
      <c r="A7" s="32" t="s">
        <v>53</v>
      </c>
      <c r="B7" s="37">
        <f t="shared" ref="B7:B12" si="0">B27</f>
        <v>4659.4970000000003</v>
      </c>
      <c r="C7" s="33"/>
      <c r="D7" s="37">
        <f>IF(ISERROR(TER_horeca_gas_kWh/1000),0,TER_horeca_gas_kWh/1000)*0.902</f>
        <v>4648.5044452000002</v>
      </c>
      <c r="E7" s="33">
        <f>$C$27*'E Balans VL '!I9/100/3.6*1000000</f>
        <v>66.723220915960411</v>
      </c>
      <c r="F7" s="33">
        <f>$C$27*('E Balans VL '!L9+'E Balans VL '!N9)/100/3.6*1000000</f>
        <v>590.04599633156579</v>
      </c>
      <c r="G7" s="34"/>
      <c r="H7" s="33"/>
      <c r="I7" s="33"/>
      <c r="J7" s="33">
        <f>$C$27*('E Balans VL '!D9+'E Balans VL '!E9)/100/3.6*1000000</f>
        <v>0</v>
      </c>
      <c r="K7" s="33"/>
      <c r="L7" s="33"/>
      <c r="M7" s="33"/>
      <c r="N7" s="33">
        <f>$C$27*'E Balans VL '!Y9/100/3.6*1000000</f>
        <v>1.3395026544097242</v>
      </c>
      <c r="O7" s="33"/>
      <c r="P7" s="33"/>
      <c r="R7" s="32"/>
    </row>
    <row r="8" spans="1:18">
      <c r="A8" s="6" t="s">
        <v>52</v>
      </c>
      <c r="B8" s="37">
        <f t="shared" si="0"/>
        <v>22374.623200000002</v>
      </c>
      <c r="C8" s="33"/>
      <c r="D8" s="37">
        <f>IF(ISERROR(TER_handel_gas_kWh/1000),0,TER_handel_gas_kWh/1000)*0.902</f>
        <v>12313.477696299999</v>
      </c>
      <c r="E8" s="33">
        <f>$C$28*'E Balans VL '!I13/100/3.6*1000000</f>
        <v>811.52482434907972</v>
      </c>
      <c r="F8" s="33">
        <f>$C$28*('E Balans VL '!L13+'E Balans VL '!N13)/100/3.6*1000000</f>
        <v>4309.5789857839745</v>
      </c>
      <c r="G8" s="34"/>
      <c r="H8" s="33"/>
      <c r="I8" s="33"/>
      <c r="J8" s="33">
        <f>$C$28*('E Balans VL '!D13+'E Balans VL '!E13)/100/3.6*1000000</f>
        <v>0</v>
      </c>
      <c r="K8" s="33"/>
      <c r="L8" s="33"/>
      <c r="M8" s="33"/>
      <c r="N8" s="33">
        <f>$C$28*'E Balans VL '!Y13/100/3.6*1000000</f>
        <v>30.994001303196768</v>
      </c>
      <c r="O8" s="33"/>
      <c r="P8" s="33"/>
      <c r="R8" s="32"/>
    </row>
    <row r="9" spans="1:18">
      <c r="A9" s="32" t="s">
        <v>51</v>
      </c>
      <c r="B9" s="37">
        <f t="shared" si="0"/>
        <v>5482.6790000000001</v>
      </c>
      <c r="C9" s="33"/>
      <c r="D9" s="37">
        <f>IF(ISERROR(TER_gezond_gas_kWh/1000),0,TER_gezond_gas_kWh/1000)*0.902</f>
        <v>11895.953667399999</v>
      </c>
      <c r="E9" s="33">
        <f>$C$29*'E Balans VL '!I10/100/3.6*1000000</f>
        <v>0.34326983707567232</v>
      </c>
      <c r="F9" s="33">
        <f>$C$29*('E Balans VL '!L10+'E Balans VL '!N10)/100/3.6*1000000</f>
        <v>814.46865861778167</v>
      </c>
      <c r="G9" s="34"/>
      <c r="H9" s="33"/>
      <c r="I9" s="33"/>
      <c r="J9" s="33">
        <f>$C$29*('E Balans VL '!D10+'E Balans VL '!E10)/100/3.6*1000000</f>
        <v>0</v>
      </c>
      <c r="K9" s="33"/>
      <c r="L9" s="33"/>
      <c r="M9" s="33"/>
      <c r="N9" s="33">
        <f>$C$29*'E Balans VL '!Y10/100/3.6*1000000</f>
        <v>84.806607805301638</v>
      </c>
      <c r="O9" s="33"/>
      <c r="P9" s="33"/>
      <c r="R9" s="32"/>
    </row>
    <row r="10" spans="1:18">
      <c r="A10" s="32" t="s">
        <v>50</v>
      </c>
      <c r="B10" s="37">
        <f t="shared" si="0"/>
        <v>6299.9871499999999</v>
      </c>
      <c r="C10" s="33"/>
      <c r="D10" s="37">
        <f>IF(ISERROR(TER_ander_gas_kWh/1000),0,TER_ander_gas_kWh/1000)*0.902</f>
        <v>4328.0689451999997</v>
      </c>
      <c r="E10" s="33">
        <f>$C$30*'E Balans VL '!I14/100/3.6*1000000</f>
        <v>7.5093595592984466</v>
      </c>
      <c r="F10" s="33">
        <f>$C$30*('E Balans VL '!L14+'E Balans VL '!N14)/100/3.6*1000000</f>
        <v>1648.3567138706846</v>
      </c>
      <c r="G10" s="34"/>
      <c r="H10" s="33"/>
      <c r="I10" s="33"/>
      <c r="J10" s="33">
        <f>$C$30*('E Balans VL '!D14+'E Balans VL '!E14)/100/3.6*1000000</f>
        <v>0.13674802575875675</v>
      </c>
      <c r="K10" s="33"/>
      <c r="L10" s="33"/>
      <c r="M10" s="33"/>
      <c r="N10" s="33">
        <f>$C$30*'E Balans VL '!Y14/100/3.6*1000000</f>
        <v>5349.7949292643752</v>
      </c>
      <c r="O10" s="33"/>
      <c r="P10" s="33"/>
      <c r="R10" s="32"/>
    </row>
    <row r="11" spans="1:18">
      <c r="A11" s="32" t="s">
        <v>55</v>
      </c>
      <c r="B11" s="37">
        <f t="shared" si="0"/>
        <v>1764.72</v>
      </c>
      <c r="C11" s="33"/>
      <c r="D11" s="37">
        <f>IF(ISERROR(TER_onderwijs_gas_kWh/1000),0,TER_onderwijs_gas_kWh/1000)*0.902</f>
        <v>5076.7103640000005</v>
      </c>
      <c r="E11" s="33">
        <f>$C$31*'E Balans VL '!I11/100/3.6*1000000</f>
        <v>26.626782448161631</v>
      </c>
      <c r="F11" s="33">
        <f>$C$31*('E Balans VL '!L11+'E Balans VL '!N11)/100/3.6*1000000</f>
        <v>309.2071362407097</v>
      </c>
      <c r="G11" s="34"/>
      <c r="H11" s="33"/>
      <c r="I11" s="33"/>
      <c r="J11" s="33">
        <f>$C$31*('E Balans VL '!D11+'E Balans VL '!E11)/100/3.6*1000000</f>
        <v>0</v>
      </c>
      <c r="K11" s="33"/>
      <c r="L11" s="33"/>
      <c r="M11" s="33"/>
      <c r="N11" s="33">
        <f>$C$31*'E Balans VL '!Y11/100/3.6*1000000</f>
        <v>4.9660562391234304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1705.5</v>
      </c>
      <c r="C13" s="247">
        <f ca="1">'lokale energieproductie'!O90+'lokale energieproductie'!O59</f>
        <v>2436.4285714285716</v>
      </c>
      <c r="D13" s="310">
        <f ca="1">('lokale energieproductie'!P59+'lokale energieproductie'!P90)*(-1)</f>
        <v>-4872.8571428571431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53728.932750000007</v>
      </c>
      <c r="C16" s="21">
        <f t="shared" ca="1" si="1"/>
        <v>2436.4285714285716</v>
      </c>
      <c r="D16" s="21">
        <f t="shared" ca="1" si="1"/>
        <v>52160.019939642858</v>
      </c>
      <c r="E16" s="21">
        <f t="shared" si="1"/>
        <v>912.79917129872604</v>
      </c>
      <c r="F16" s="21">
        <f t="shared" ca="1" si="1"/>
        <v>9391.059310848399</v>
      </c>
      <c r="G16" s="21">
        <f t="shared" si="1"/>
        <v>0</v>
      </c>
      <c r="H16" s="21">
        <f t="shared" si="1"/>
        <v>0</v>
      </c>
      <c r="I16" s="21">
        <f t="shared" si="1"/>
        <v>0</v>
      </c>
      <c r="J16" s="21">
        <f t="shared" si="1"/>
        <v>0.13674802575875675</v>
      </c>
      <c r="K16" s="21">
        <f t="shared" si="1"/>
        <v>0</v>
      </c>
      <c r="L16" s="21">
        <f t="shared" ca="1" si="1"/>
        <v>0</v>
      </c>
      <c r="M16" s="21">
        <f t="shared" si="1"/>
        <v>0</v>
      </c>
      <c r="N16" s="21">
        <f t="shared" ca="1" si="1"/>
        <v>5482.8436034162423</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0.17363911261487208</v>
      </c>
      <c r="C18" s="25">
        <f ca="1">'EF ele_warmte'!B22</f>
        <v>2.810241350830504E-2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9329.4442044541393</v>
      </c>
      <c r="C20" s="23">
        <f t="shared" ref="C20:P20" ca="1" si="2">C16*C18</f>
        <v>68.469523197734645</v>
      </c>
      <c r="D20" s="23">
        <f t="shared" ca="1" si="2"/>
        <v>10536.324027807857</v>
      </c>
      <c r="E20" s="23">
        <f t="shared" si="2"/>
        <v>207.20541188481081</v>
      </c>
      <c r="F20" s="23">
        <f t="shared" ca="1" si="2"/>
        <v>2507.4128359965225</v>
      </c>
      <c r="G20" s="23">
        <f t="shared" si="2"/>
        <v>0</v>
      </c>
      <c r="H20" s="23">
        <f t="shared" si="2"/>
        <v>0</v>
      </c>
      <c r="I20" s="23">
        <f t="shared" si="2"/>
        <v>0</v>
      </c>
      <c r="J20" s="23">
        <f t="shared" si="2"/>
        <v>4.8408801118599888E-2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11441.926400000004</v>
      </c>
      <c r="C26" s="39">
        <f>IF(ISERROR(B26*3.6/1000000/'E Balans VL '!Z12*100),0,B26*3.6/1000000/'E Balans VL '!Z12*100)</f>
        <v>0.24186419862049593</v>
      </c>
      <c r="D26" s="237" t="s">
        <v>754</v>
      </c>
      <c r="F26" s="6"/>
    </row>
    <row r="27" spans="1:18">
      <c r="A27" s="231" t="s">
        <v>53</v>
      </c>
      <c r="B27" s="33">
        <f>IF(ISERROR(TER_horeca_ele_kWh/1000),0,TER_horeca_ele_kWh/1000)</f>
        <v>4659.4970000000003</v>
      </c>
      <c r="C27" s="39">
        <f>IF(ISERROR(B27*3.6/1000000/'E Balans VL '!Z9*100),0,B27*3.6/1000000/'E Balans VL '!Z9*100)</f>
        <v>0.36730641182680723</v>
      </c>
      <c r="D27" s="237" t="s">
        <v>754</v>
      </c>
      <c r="F27" s="6"/>
    </row>
    <row r="28" spans="1:18">
      <c r="A28" s="171" t="s">
        <v>52</v>
      </c>
      <c r="B28" s="33">
        <f>IF(ISERROR(TER_handel_ele_kWh/1000),0,TER_handel_ele_kWh/1000)</f>
        <v>22374.623200000002</v>
      </c>
      <c r="C28" s="39">
        <f>IF(ISERROR(B28*3.6/1000000/'E Balans VL '!Z13*100),0,B28*3.6/1000000/'E Balans VL '!Z13*100)</f>
        <v>0.6494019688720043</v>
      </c>
      <c r="D28" s="237" t="s">
        <v>754</v>
      </c>
      <c r="F28" s="6"/>
    </row>
    <row r="29" spans="1:18">
      <c r="A29" s="231" t="s">
        <v>51</v>
      </c>
      <c r="B29" s="33">
        <f>IF(ISERROR(TER_gezond_ele_kWh/1000),0,TER_gezond_ele_kWh/1000)</f>
        <v>5482.6790000000001</v>
      </c>
      <c r="C29" s="39">
        <f>IF(ISERROR(B29*3.6/1000000/'E Balans VL '!Z10*100),0,B29*3.6/1000000/'E Balans VL '!Z10*100)</f>
        <v>0.5774161266655703</v>
      </c>
      <c r="D29" s="237" t="s">
        <v>754</v>
      </c>
      <c r="F29" s="6"/>
    </row>
    <row r="30" spans="1:18">
      <c r="A30" s="231" t="s">
        <v>50</v>
      </c>
      <c r="B30" s="33">
        <f>IF(ISERROR(TER_ander_ele_kWh/1000),0,TER_ander_ele_kWh/1000)</f>
        <v>6299.9871499999999</v>
      </c>
      <c r="C30" s="39">
        <f>IF(ISERROR(B30*3.6/1000000/'E Balans VL '!Z14*100),0,B30*3.6/1000000/'E Balans VL '!Z14*100)</f>
        <v>0.46468842053440235</v>
      </c>
      <c r="D30" s="237" t="s">
        <v>754</v>
      </c>
      <c r="F30" s="6"/>
    </row>
    <row r="31" spans="1:18">
      <c r="A31" s="231" t="s">
        <v>55</v>
      </c>
      <c r="B31" s="33">
        <f>IF(ISERROR(TER_onderwijs_ele_kWh/1000),0,TER_onderwijs_ele_kWh/1000)</f>
        <v>1764.72</v>
      </c>
      <c r="C31" s="39">
        <f>IF(ISERROR(B31*3.6/1000000/'E Balans VL '!Z11*100),0,B31*3.6/1000000/'E Balans VL '!Z11*100)</f>
        <v>0.438262640353074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22952.547600000002</v>
      </c>
      <c r="C5" s="17">
        <f>IF(ISERROR('Eigen informatie GS &amp; warmtenet'!B59),0,'Eigen informatie GS &amp; warmtenet'!B59)</f>
        <v>0</v>
      </c>
      <c r="D5" s="30">
        <f>SUM(D6:D15)</f>
        <v>17577.6445867</v>
      </c>
      <c r="E5" s="17">
        <f>SUM(E6:E15)</f>
        <v>4706.6479022840504</v>
      </c>
      <c r="F5" s="17">
        <f>SUM(F6:F15)</f>
        <v>13496.970398951251</v>
      </c>
      <c r="G5" s="18"/>
      <c r="H5" s="17"/>
      <c r="I5" s="17"/>
      <c r="J5" s="17">
        <f>SUM(J6:J15)</f>
        <v>9.3705645144836609</v>
      </c>
      <c r="K5" s="17"/>
      <c r="L5" s="17"/>
      <c r="M5" s="17"/>
      <c r="N5" s="17">
        <f>SUM(N6:N15)</f>
        <v>5751.5944734276309</v>
      </c>
      <c r="O5" s="17">
        <f>B43*B44*B45</f>
        <v>0</v>
      </c>
      <c r="P5" s="17">
        <f>B51*B52*B53/1000-B51*B52*B53/1000/B54</f>
        <v>0</v>
      </c>
      <c r="R5" s="32"/>
    </row>
    <row r="6" spans="1:18">
      <c r="A6" s="6" t="s">
        <v>35</v>
      </c>
      <c r="B6" s="37">
        <f>IF( ISERROR(IND_ijzer_ele_kWh/1000),0,IND_ijzer_ele_kWh/1000)</f>
        <v>51.838999999999999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30.363</v>
      </c>
      <c r="C7" s="33"/>
      <c r="D7" s="37">
        <f>IF( ISERROR(IND_nonf_gas_kWhh/1000),0,IND_nonf_gas_kWh/1000)*0.902</f>
        <v>0</v>
      </c>
      <c r="E7" s="33">
        <f>C29*'E Balans VL '!I17/100/3.6*1000000</f>
        <v>0.28119989629534026</v>
      </c>
      <c r="F7" s="33">
        <f>C29*'E Balans VL '!L17/100/3.6*1000000+C29*'E Balans VL '!N17/100/3.6*1000000</f>
        <v>7.1087367093017253</v>
      </c>
      <c r="G7" s="34"/>
      <c r="H7" s="33"/>
      <c r="I7" s="33"/>
      <c r="J7" s="40">
        <f>C29*'E Balans VL '!D17/100/3.6*1000000+C29*'E Balans VL '!E17/100/3.6*1000000</f>
        <v>8.6931903326728115</v>
      </c>
      <c r="K7" s="33"/>
      <c r="L7" s="33"/>
      <c r="M7" s="33"/>
      <c r="N7" s="33">
        <f>C29*'E Balans VL '!Y17/100/3.6*1000000</f>
        <v>0</v>
      </c>
      <c r="O7" s="33"/>
      <c r="P7" s="33"/>
      <c r="R7" s="32"/>
    </row>
    <row r="8" spans="1:18">
      <c r="A8" s="6" t="s">
        <v>36</v>
      </c>
      <c r="B8" s="37">
        <f t="shared" si="0"/>
        <v>5639.2150000000001</v>
      </c>
      <c r="C8" s="33"/>
      <c r="D8" s="37">
        <f>IF( ISERROR(IND_metaal_Gas_kWH/1000),0,IND_metaal_Gas_kWH/1000)*0.902</f>
        <v>5807.3484040000003</v>
      </c>
      <c r="E8" s="33">
        <f>C30*'E Balans VL '!I18/100/3.6*1000000</f>
        <v>51.847135519357522</v>
      </c>
      <c r="F8" s="33">
        <f>C30*'E Balans VL '!L18/100/3.6*1000000+C30*'E Balans VL '!N18/100/3.6*1000000</f>
        <v>528.77061852788893</v>
      </c>
      <c r="G8" s="34"/>
      <c r="H8" s="33"/>
      <c r="I8" s="33"/>
      <c r="J8" s="40">
        <f>C30*'E Balans VL '!D18/100/3.6*1000000+C30*'E Balans VL '!E18/100/3.6*1000000</f>
        <v>0</v>
      </c>
      <c r="K8" s="33"/>
      <c r="L8" s="33"/>
      <c r="M8" s="33"/>
      <c r="N8" s="33">
        <f>C30*'E Balans VL '!Y18/100/3.6*1000000</f>
        <v>80.452721170228571</v>
      </c>
      <c r="O8" s="33"/>
      <c r="P8" s="33"/>
      <c r="R8" s="32"/>
    </row>
    <row r="9" spans="1:18">
      <c r="A9" s="6" t="s">
        <v>33</v>
      </c>
      <c r="B9" s="37">
        <f t="shared" si="0"/>
        <v>15875.40805</v>
      </c>
      <c r="C9" s="33"/>
      <c r="D9" s="37">
        <f>IF( ISERROR(IND_andere_gas_kWh/1000),0,IND_andere_gas_kWh/1000)*0.902</f>
        <v>10746.918913500002</v>
      </c>
      <c r="E9" s="33">
        <f>C31*'E Balans VL '!I19/100/3.6*1000000</f>
        <v>4640.6908307565836</v>
      </c>
      <c r="F9" s="33">
        <f>C31*'E Balans VL '!L19/100/3.6*1000000+C31*'E Balans VL '!N19/100/3.6*1000000</f>
        <v>12757.092026148932</v>
      </c>
      <c r="G9" s="34"/>
      <c r="H9" s="33"/>
      <c r="I9" s="33"/>
      <c r="J9" s="40">
        <f>C31*'E Balans VL '!D19/100/3.6*1000000+C31*'E Balans VL '!E19/100/3.6*1000000</f>
        <v>0</v>
      </c>
      <c r="K9" s="33"/>
      <c r="L9" s="33"/>
      <c r="M9" s="33"/>
      <c r="N9" s="33">
        <f>C31*'E Balans VL '!Y19/100/3.6*1000000</f>
        <v>5245.4810298425427</v>
      </c>
      <c r="O9" s="33"/>
      <c r="P9" s="33"/>
      <c r="R9" s="32"/>
    </row>
    <row r="10" spans="1:18">
      <c r="A10" s="6" t="s">
        <v>41</v>
      </c>
      <c r="B10" s="37">
        <f t="shared" si="0"/>
        <v>625.1105500000001</v>
      </c>
      <c r="C10" s="33"/>
      <c r="D10" s="37">
        <f>IF( ISERROR(IND_voed_gas_kWh/1000),0,IND_voed_gas_kWh/1000)*0.902</f>
        <v>402.78052319999995</v>
      </c>
      <c r="E10" s="33">
        <f>C32*'E Balans VL '!I20/100/3.6*1000000</f>
        <v>1.3224310609788743</v>
      </c>
      <c r="F10" s="33">
        <f>C32*'E Balans VL '!L20/100/3.6*1000000+C32*'E Balans VL '!N20/100/3.6*1000000</f>
        <v>39.745167300702178</v>
      </c>
      <c r="G10" s="34"/>
      <c r="H10" s="33"/>
      <c r="I10" s="33"/>
      <c r="J10" s="40">
        <f>C32*'E Balans VL '!D20/100/3.6*1000000+C32*'E Balans VL '!E20/100/3.6*1000000</f>
        <v>0</v>
      </c>
      <c r="K10" s="33"/>
      <c r="L10" s="33"/>
      <c r="M10" s="33"/>
      <c r="N10" s="33">
        <f>C32*'E Balans VL '!Y20/100/3.6*1000000</f>
        <v>43.138796691638035</v>
      </c>
      <c r="O10" s="33"/>
      <c r="P10" s="33"/>
      <c r="R10" s="32"/>
    </row>
    <row r="11" spans="1:18">
      <c r="A11" s="6" t="s">
        <v>40</v>
      </c>
      <c r="B11" s="37">
        <f t="shared" si="0"/>
        <v>230.66200000000001</v>
      </c>
      <c r="C11" s="33"/>
      <c r="D11" s="37">
        <f>IF( ISERROR(IND_textiel_gas_kWh/1000),0,IND_textiel_gas_kWh/1000)*0.902</f>
        <v>339.32247800000005</v>
      </c>
      <c r="E11" s="33">
        <f>C33*'E Balans VL '!I21/100/3.6*1000000</f>
        <v>0.68504625311249356</v>
      </c>
      <c r="F11" s="33">
        <f>C33*'E Balans VL '!L21/100/3.6*1000000+C33*'E Balans VL '!N21/100/3.6*1000000</f>
        <v>23.30319462144617</v>
      </c>
      <c r="G11" s="34"/>
      <c r="H11" s="33"/>
      <c r="I11" s="33"/>
      <c r="J11" s="40">
        <f>C33*'E Balans VL '!D21/100/3.6*1000000+C33*'E Balans VL '!E21/100/3.6*1000000</f>
        <v>0</v>
      </c>
      <c r="K11" s="33"/>
      <c r="L11" s="33"/>
      <c r="M11" s="33"/>
      <c r="N11" s="33">
        <f>C33*'E Balans VL '!Y21/100/3.6*1000000</f>
        <v>12.721745424154308</v>
      </c>
      <c r="O11" s="33"/>
      <c r="P11" s="33"/>
      <c r="R11" s="32"/>
    </row>
    <row r="12" spans="1:18">
      <c r="A12" s="6" t="s">
        <v>37</v>
      </c>
      <c r="B12" s="37">
        <f t="shared" si="0"/>
        <v>403.08699999999999</v>
      </c>
      <c r="C12" s="33"/>
      <c r="D12" s="37">
        <f>IF( ISERROR(IND_min_gas_kWh/1000),0,IND_min_gas_kWh/1000)*0.902</f>
        <v>145.52868000000001</v>
      </c>
      <c r="E12" s="33">
        <f>C34*'E Balans VL '!I22/100/3.6*1000000</f>
        <v>11.683832353118415</v>
      </c>
      <c r="F12" s="33">
        <f>C34*'E Balans VL '!L22/100/3.6*1000000+C34*'E Balans VL '!N22/100/3.6*1000000</f>
        <v>138.58586558461741</v>
      </c>
      <c r="G12" s="34"/>
      <c r="H12" s="33"/>
      <c r="I12" s="33"/>
      <c r="J12" s="40">
        <f>C34*'E Balans VL '!D22/100/3.6*1000000+C34*'E Balans VL '!E22/100/3.6*1000000</f>
        <v>0.66239340945558844</v>
      </c>
      <c r="K12" s="33"/>
      <c r="L12" s="33"/>
      <c r="M12" s="33"/>
      <c r="N12" s="33">
        <f>C34*'E Balans VL '!Y22/100/3.6*1000000</f>
        <v>88.242368346084035</v>
      </c>
      <c r="O12" s="33"/>
      <c r="P12" s="33"/>
      <c r="R12" s="32"/>
    </row>
    <row r="13" spans="1:18">
      <c r="A13" s="6" t="s">
        <v>39</v>
      </c>
      <c r="B13" s="37">
        <f t="shared" si="0"/>
        <v>96.863</v>
      </c>
      <c r="C13" s="33"/>
      <c r="D13" s="37">
        <f>IF( ISERROR(IND_papier_gas_kWh/1000),0,IND_papier_gas_kWh/1000)*0.902</f>
        <v>135.745588</v>
      </c>
      <c r="E13" s="33">
        <f>C35*'E Balans VL '!I23/100/3.6*1000000</f>
        <v>0.13742644460386863</v>
      </c>
      <c r="F13" s="33">
        <f>C35*'E Balans VL '!L23/100/3.6*1000000+C35*'E Balans VL '!N23/100/3.6*1000000</f>
        <v>2.3647900583634089</v>
      </c>
      <c r="G13" s="34"/>
      <c r="H13" s="33"/>
      <c r="I13" s="33"/>
      <c r="J13" s="40">
        <f>C35*'E Balans VL '!D23/100/3.6*1000000+C35*'E Balans VL '!E23/100/3.6*1000000</f>
        <v>1.4980772355260841E-2</v>
      </c>
      <c r="K13" s="33"/>
      <c r="L13" s="33"/>
      <c r="M13" s="33"/>
      <c r="N13" s="33">
        <f>C35*'E Balans VL '!Y23/100/3.6*1000000</f>
        <v>281.55781195298272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22952.547600000002</v>
      </c>
      <c r="C18" s="21">
        <f>C5+C16</f>
        <v>0</v>
      </c>
      <c r="D18" s="21">
        <f>MAX((D5+D16),0)</f>
        <v>17577.6445867</v>
      </c>
      <c r="E18" s="21">
        <f>MAX((E5+E16),0)</f>
        <v>4706.6479022840504</v>
      </c>
      <c r="F18" s="21">
        <f>MAX((F5+F16),0)</f>
        <v>13496.970398951251</v>
      </c>
      <c r="G18" s="21"/>
      <c r="H18" s="21"/>
      <c r="I18" s="21"/>
      <c r="J18" s="21">
        <f>MAX((J5+J16),0)</f>
        <v>9.3705645144836609</v>
      </c>
      <c r="K18" s="21"/>
      <c r="L18" s="21">
        <f>MAX((L5+L16),0)</f>
        <v>0</v>
      </c>
      <c r="M18" s="21"/>
      <c r="N18" s="21">
        <f>MAX((N5+N16),0)</f>
        <v>5751.5944734276309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0.17363911261487208</v>
      </c>
      <c r="C20" s="25">
        <f ca="1">'EF ele_warmte'!B22</f>
        <v>2.810241350830504E-2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3985.459997514612</v>
      </c>
      <c r="C22" s="23">
        <f ca="1">C18*C20</f>
        <v>0</v>
      </c>
      <c r="D22" s="23">
        <f>D18*D20</f>
        <v>3550.6842065134001</v>
      </c>
      <c r="E22" s="23">
        <f>E18*E20</f>
        <v>1068.4090738184796</v>
      </c>
      <c r="F22" s="23">
        <f>F18*F20</f>
        <v>3603.6910965199841</v>
      </c>
      <c r="G22" s="23"/>
      <c r="H22" s="23"/>
      <c r="I22" s="23"/>
      <c r="J22" s="23">
        <f>J18*J20</f>
        <v>3.317179838127216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30.363</v>
      </c>
      <c r="C29" s="39">
        <f>IF(ISERROR(B29*3.6/1000000/'E Balans VL '!Z17*100),0,B29*3.6/1000000/'E Balans VL '!Z17*100)</f>
        <v>1.9682695092844097E-2</v>
      </c>
      <c r="D29" s="237" t="s">
        <v>754</v>
      </c>
    </row>
    <row r="30" spans="1:18">
      <c r="A30" s="171" t="s">
        <v>36</v>
      </c>
      <c r="B30" s="37">
        <f>IF( ISERROR(IND_metaal_ele_kWh/1000),0,IND_metaal_ele_kWh/1000)</f>
        <v>5639.2150000000001</v>
      </c>
      <c r="C30" s="39">
        <f>IF(ISERROR(B30*3.6/1000000/'E Balans VL '!Z18*100),0,B30*3.6/1000000/'E Balans VL '!Z18*100)</f>
        <v>0.319588773943007</v>
      </c>
      <c r="D30" s="237" t="s">
        <v>754</v>
      </c>
    </row>
    <row r="31" spans="1:18">
      <c r="A31" s="6" t="s">
        <v>33</v>
      </c>
      <c r="B31" s="37">
        <f>IF( ISERROR(IND_ander_ele_kWh/1000),0,IND_ander_ele_kWh/1000)</f>
        <v>15875.40805</v>
      </c>
      <c r="C31" s="39">
        <f>IF(ISERROR(B31*3.6/1000000/'E Balans VL '!Z19*100),0,B31*3.6/1000000/'E Balans VL '!Z19*100)</f>
        <v>0.72004240509940043</v>
      </c>
      <c r="D31" s="237" t="s">
        <v>754</v>
      </c>
    </row>
    <row r="32" spans="1:18">
      <c r="A32" s="171" t="s">
        <v>41</v>
      </c>
      <c r="B32" s="37">
        <f>IF( ISERROR(IND_voed_ele_kWh/1000),0,IND_voed_ele_kWh/1000)</f>
        <v>625.1105500000001</v>
      </c>
      <c r="C32" s="39">
        <f>IF(ISERROR(B32*3.6/1000000/'E Balans VL '!Z20*100),0,B32*3.6/1000000/'E Balans VL '!Z20*100)</f>
        <v>1.9337507073789145E-2</v>
      </c>
      <c r="D32" s="237" t="s">
        <v>754</v>
      </c>
    </row>
    <row r="33" spans="1:5">
      <c r="A33" s="171" t="s">
        <v>40</v>
      </c>
      <c r="B33" s="37">
        <f>IF( ISERROR(IND_textiel_ele_kWh/1000),0,IND_textiel_ele_kWh/1000)</f>
        <v>230.66200000000001</v>
      </c>
      <c r="C33" s="39">
        <f>IF(ISERROR(B33*3.6/1000000/'E Balans VL '!Z21*100),0,B33*3.6/1000000/'E Balans VL '!Z21*100)</f>
        <v>3.0075760861313892E-2</v>
      </c>
      <c r="D33" s="237" t="s">
        <v>754</v>
      </c>
    </row>
    <row r="34" spans="1:5">
      <c r="A34" s="171" t="s">
        <v>37</v>
      </c>
      <c r="B34" s="37">
        <f>IF( ISERROR(IND_min_ele_kWh/1000),0,IND_min_ele_kWh/1000)</f>
        <v>403.08699999999999</v>
      </c>
      <c r="C34" s="39">
        <f>IF(ISERROR(B34*3.6/1000000/'E Balans VL '!Z22*100),0,B34*3.6/1000000/'E Balans VL '!Z22*100)</f>
        <v>7.2502775130438693E-2</v>
      </c>
      <c r="D34" s="237" t="s">
        <v>754</v>
      </c>
    </row>
    <row r="35" spans="1:5">
      <c r="A35" s="171" t="s">
        <v>39</v>
      </c>
      <c r="B35" s="37">
        <f>IF( ISERROR(IND_papier_ele_kWh/1000),0,IND_papier_ele_kWh/1000)</f>
        <v>96.863</v>
      </c>
      <c r="C35" s="39">
        <f>IF(ISERROR(B35*3.6/1000000/'E Balans VL '!Z22*100),0,B35*3.6/1000000/'E Balans VL '!Z22*100)</f>
        <v>1.7422631609205166E-2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2135.2249999999999</v>
      </c>
      <c r="C5" s="17">
        <f>'Eigen informatie GS &amp; warmtenet'!B60</f>
        <v>0</v>
      </c>
      <c r="D5" s="30">
        <f>IF(ISERROR(SUM(LB_lb_gas_kWh,LB_rest_gas_kWh,onbekend_gas_kWh)/1000),0,SUM(LB_lb_gas_kWh,LB_rest_gas_kWh,onbekend_gas_kWh)/1000)*0.902</f>
        <v>616.66583000000003</v>
      </c>
      <c r="E5" s="17">
        <f>B17*'E Balans VL '!I25/3.6*1000000/100</f>
        <v>62.760784479897829</v>
      </c>
      <c r="F5" s="17">
        <f>B17*('E Balans VL '!L25/3.6*1000000+'E Balans VL '!N25/3.6*1000000)/100</f>
        <v>8895.2319684971062</v>
      </c>
      <c r="G5" s="18"/>
      <c r="H5" s="17"/>
      <c r="I5" s="17"/>
      <c r="J5" s="17">
        <f>('E Balans VL '!D25+'E Balans VL '!E25)/3.6*1000000*landbouw!B17/100</f>
        <v>309.3482480182339</v>
      </c>
      <c r="K5" s="17"/>
      <c r="L5" s="17">
        <f>L6*(-1)</f>
        <v>0</v>
      </c>
      <c r="M5" s="17"/>
      <c r="N5" s="17">
        <f>N6*(-1)</f>
        <v>36334.285714285717</v>
      </c>
      <c r="O5" s="17"/>
      <c r="P5" s="17"/>
      <c r="R5" s="32"/>
    </row>
    <row r="6" spans="1:18">
      <c r="A6" s="16" t="s">
        <v>488</v>
      </c>
      <c r="B6" s="17" t="s">
        <v>211</v>
      </c>
      <c r="C6" s="17">
        <f>'lokale energieproductie'!O91+'lokale energieproductie'!O60</f>
        <v>18167.142857142859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2135.2249999999999</v>
      </c>
      <c r="C8" s="21">
        <f>C5+C6</f>
        <v>18167.142857142859</v>
      </c>
      <c r="D8" s="21">
        <f>MAX((D5+D6),0)</f>
        <v>616.66583000000003</v>
      </c>
      <c r="E8" s="21">
        <f>MAX((E5+E6),0)</f>
        <v>62.760784479897829</v>
      </c>
      <c r="F8" s="21">
        <f>MAX((F5+F6),0)</f>
        <v>8895.2319684971062</v>
      </c>
      <c r="G8" s="21"/>
      <c r="H8" s="21"/>
      <c r="I8" s="21"/>
      <c r="J8" s="21">
        <f>MAX((J5+J6),0)</f>
        <v>309.3482480182339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0.17363911261487208</v>
      </c>
      <c r="C10" s="31">
        <f ca="1">'EF ele_warmte'!B22</f>
        <v>2.810241350830504E-2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370.7585742330902</v>
      </c>
      <c r="C12" s="23">
        <f ca="1">C8*C10</f>
        <v>510.54056083587892</v>
      </c>
      <c r="D12" s="23">
        <f>D8*D10</f>
        <v>124.56649766000001</v>
      </c>
      <c r="E12" s="23">
        <f>E8*E10</f>
        <v>14.246698076936807</v>
      </c>
      <c r="F12" s="23">
        <f>F8*F10</f>
        <v>2375.0269355887276</v>
      </c>
      <c r="G12" s="23"/>
      <c r="H12" s="23"/>
      <c r="I12" s="23"/>
      <c r="J12" s="23">
        <f>J8*J10</f>
        <v>109.5092797984548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0.30299512656413685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343.92109541364812</v>
      </c>
      <c r="C26" s="247">
        <f>B26*'GWP N2O_CH4'!B5</f>
        <v>7222.3430036866102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128.75588117873599</v>
      </c>
      <c r="C27" s="247">
        <f>B27*'GWP N2O_CH4'!B5</f>
        <v>2703.8735047534556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5.0398861346491124</v>
      </c>
      <c r="C28" s="247">
        <f>B28*'GWP N2O_CH4'!B4</f>
        <v>1562.3647017412247</v>
      </c>
      <c r="D28" s="50"/>
    </row>
    <row r="29" spans="1:4">
      <c r="A29" s="41" t="s">
        <v>277</v>
      </c>
      <c r="B29" s="247">
        <f>B34*'ha_N2O bodem landbouw'!B4</f>
        <v>37.397934795494507</v>
      </c>
      <c r="C29" s="247">
        <f>B29*'GWP N2O_CH4'!B4</f>
        <v>11593.359786603298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8.5340798413150905E-3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3.0966487350848914E-4</v>
      </c>
      <c r="C5" s="463" t="s">
        <v>211</v>
      </c>
      <c r="D5" s="448">
        <f>SUM(D6:D11)</f>
        <v>1.0629217002693944E-3</v>
      </c>
      <c r="E5" s="448">
        <f>SUM(E6:E11)</f>
        <v>1.4301373054042073E-3</v>
      </c>
      <c r="F5" s="461" t="s">
        <v>211</v>
      </c>
      <c r="G5" s="448">
        <f>SUM(G6:G11)</f>
        <v>0.51892240401335366</v>
      </c>
      <c r="H5" s="448">
        <f>SUM(H6:H11)</f>
        <v>0.12006984860858669</v>
      </c>
      <c r="I5" s="463" t="s">
        <v>211</v>
      </c>
      <c r="J5" s="463" t="s">
        <v>211</v>
      </c>
      <c r="K5" s="463" t="s">
        <v>211</v>
      </c>
      <c r="L5" s="463" t="s">
        <v>211</v>
      </c>
      <c r="M5" s="448">
        <f>SUM(M6:M11)</f>
        <v>3.3881906276419314E-2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2.4441067501756753E-4</v>
      </c>
      <c r="C6" s="449"/>
      <c r="D6" s="962">
        <f>vkm_2011_GW_PW*SUMIFS(TableVerdeelsleutelVkm[CNG],TableVerdeelsleutelVkm[Voertuigtype],"Lichte voertuigen")*SUMIFS(TableECFTransport[EnergieConsumptieFactor (PJ per km)],TableECFTransport[Index],CONCATENATE($A6,"_CNG_CNG"))</f>
        <v>7.3309174608515585E-4</v>
      </c>
      <c r="E6" s="962">
        <f>vkm_2011_GW_PW*SUMIFS(TableVerdeelsleutelVkm[LPG],TableVerdeelsleutelVkm[Voertuigtype],"Lichte voertuigen")*SUMIFS(TableECFTransport[EnergieConsumptieFactor (PJ per km)],TableECFTransport[Index],CONCATENATE($A6,"_LPG_LPG"))</f>
        <v>1.001508628592057E-3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0.25894422148480867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8.3366166951386378E-2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1.7602989701306228E-2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0.12621848113295411</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3.8462099835983053E-5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7.3757889288664277E-3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5.6977419696773286E-5</v>
      </c>
      <c r="C8" s="449"/>
      <c r="D8" s="451">
        <f>vkm_2011_NGW_PW*SUMIFS(TableVerdeelsleutelVkm[CNG],TableVerdeelsleutelVkm[Voertuigtype],"Lichte voertuigen")*SUMIFS(TableECFTransport[EnergieConsumptieFactor (PJ per km)],TableECFTransport[Index],CONCATENATE($A8,"_CNG_CNG"))</f>
        <v>3.0386132687054294E-4</v>
      </c>
      <c r="E8" s="451">
        <f>vkm_2011_NGW_PW*SUMIFS(TableVerdeelsleutelVkm[LPG],TableVerdeelsleutelVkm[Voertuigtype],"Lichte voertuigen")*SUMIFS(TableECFTransport[EnergieConsumptieFactor (PJ per km)],TableECFTransport[Index],CONCATENATE($A8,"_LPG_LPG"))</f>
        <v>3.8444657680504609E-4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9.2630526274635139E-2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3.3579585021084234E-2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6.4084957047257363E-3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1.8520719373799868E-2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5.3131043338104949E-6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1.0822795317754737E-3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8.2767787941482977E-6</v>
      </c>
      <c r="C10" s="449"/>
      <c r="D10" s="451">
        <f>vkm_2011_SW_PW*SUMIFS(TableVerdeelsleutelVkm[CNG],TableVerdeelsleutelVkm[Voertuigtype],"Lichte voertuigen")*SUMIFS(TableECFTransport[EnergieConsumptieFactor (PJ per km)],TableECFTransport[Index],CONCATENATE($A10,"_CNG_CNG"))</f>
        <v>2.5968627313695624E-5</v>
      </c>
      <c r="E10" s="451">
        <f>vkm_2011_SW_PW*SUMIFS(TableVerdeelsleutelVkm[LPG],TableVerdeelsleutelVkm[Voertuigtype],"Lichte voertuigen")*SUMIFS(TableECFTransport[EnergieConsumptieFactor (PJ per km)],TableECFTransport[Index],CONCATENATE($A10,"_LPG_LPG"))</f>
        <v>4.4182100007104104E-5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1.0184074154914883E-2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3.0762329286744767E-3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6.8630383042022074E-4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1.2424381592240977E-2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4.0885032717803482E-6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7.2604857932522416E-4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86.018020419024765</v>
      </c>
      <c r="C14" s="21"/>
      <c r="D14" s="21">
        <f t="shared" ref="D14:M14" si="0">((D5)*10^9/3600)+D12</f>
        <v>295.25602785260952</v>
      </c>
      <c r="E14" s="21">
        <f t="shared" si="0"/>
        <v>397.26036261227978</v>
      </c>
      <c r="F14" s="21"/>
      <c r="G14" s="21">
        <f t="shared" si="0"/>
        <v>144145.11222593157</v>
      </c>
      <c r="H14" s="21">
        <f t="shared" si="0"/>
        <v>33352.73572460741</v>
      </c>
      <c r="I14" s="21"/>
      <c r="J14" s="21"/>
      <c r="K14" s="21"/>
      <c r="L14" s="21"/>
      <c r="M14" s="21">
        <f t="shared" si="0"/>
        <v>9411.6406323386982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0.17363911261487208</v>
      </c>
      <c r="C16" s="56">
        <f ca="1">'EF ele_warmte'!B22</f>
        <v>2.810241350830504E-2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14.936092734447408</v>
      </c>
      <c r="C18" s="23"/>
      <c r="D18" s="23">
        <f t="shared" ref="D18:M18" si="1">D14*D16</f>
        <v>59.641717626227127</v>
      </c>
      <c r="E18" s="23">
        <f t="shared" si="1"/>
        <v>90.178102312987519</v>
      </c>
      <c r="F18" s="23"/>
      <c r="G18" s="23">
        <f t="shared" si="1"/>
        <v>38486.744964323734</v>
      </c>
      <c r="H18" s="23">
        <f t="shared" si="1"/>
        <v>8304.8311954272449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1.7429756797490759E-2</v>
      </c>
      <c r="H50" s="321">
        <f t="shared" si="2"/>
        <v>0</v>
      </c>
      <c r="I50" s="321">
        <f t="shared" si="2"/>
        <v>0</v>
      </c>
      <c r="J50" s="321">
        <f t="shared" si="2"/>
        <v>0</v>
      </c>
      <c r="K50" s="321">
        <f t="shared" si="2"/>
        <v>0</v>
      </c>
      <c r="L50" s="321">
        <f t="shared" si="2"/>
        <v>0</v>
      </c>
      <c r="M50" s="321">
        <f t="shared" si="2"/>
        <v>9.8993324110472811E-4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1.7429756797490759E-2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9.8993324110472811E-4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4841.5991104140994</v>
      </c>
      <c r="H54" s="21">
        <f t="shared" si="3"/>
        <v>0</v>
      </c>
      <c r="I54" s="21">
        <f t="shared" si="3"/>
        <v>0</v>
      </c>
      <c r="J54" s="21">
        <f t="shared" si="3"/>
        <v>0</v>
      </c>
      <c r="K54" s="21">
        <f t="shared" si="3"/>
        <v>0</v>
      </c>
      <c r="L54" s="21">
        <f t="shared" si="3"/>
        <v>0</v>
      </c>
      <c r="M54" s="21">
        <f t="shared" si="3"/>
        <v>274.98145586242447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0.17363911261487208</v>
      </c>
      <c r="C56" s="56">
        <f ca="1">'EF ele_warmte'!B22</f>
        <v>2.810241350830504E-2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1292.7069624805647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17.590620040955631</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15262.760275666516</v>
      </c>
      <c r="C6" s="1204"/>
      <c r="D6" s="1189"/>
      <c r="E6" s="1189"/>
      <c r="F6" s="1207"/>
      <c r="G6" s="1210"/>
      <c r="H6" s="1201"/>
      <c r="I6" s="1189"/>
      <c r="J6" s="1189"/>
      <c r="K6" s="1189"/>
      <c r="L6" s="1193"/>
      <c r="M6" s="575"/>
      <c r="N6" s="1167"/>
      <c r="O6" s="1168"/>
      <c r="Q6" s="573"/>
      <c r="R6" s="1155"/>
      <c r="S6" s="1155"/>
    </row>
    <row r="7" spans="1:19" s="563" customFormat="1">
      <c r="A7" s="576" t="s">
        <v>252</v>
      </c>
      <c r="B7" s="577">
        <f>N57</f>
        <v>14422.5</v>
      </c>
      <c r="C7" s="578">
        <f>B100</f>
        <v>2006.4705882352939</v>
      </c>
      <c r="D7" s="579"/>
      <c r="E7" s="579">
        <f>E100</f>
        <v>0</v>
      </c>
      <c r="F7" s="580"/>
      <c r="G7" s="581"/>
      <c r="H7" s="579">
        <f>I100</f>
        <v>0</v>
      </c>
      <c r="I7" s="579">
        <f>G100+F100</f>
        <v>0</v>
      </c>
      <c r="J7" s="579">
        <f>H100+D100+C100</f>
        <v>14961.176470588234</v>
      </c>
      <c r="K7" s="579"/>
      <c r="L7" s="582"/>
      <c r="M7" s="583">
        <f>C7*$C$11+D7*$D$11+E7*$E$11+F7*$F$11+G7*$G$11+H7*$H$11+I7*$I$11+J7*$J$11</f>
        <v>405.30705882352942</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29702.850895707474</v>
      </c>
      <c r="C9" s="594">
        <f t="shared" ref="C9:L9" si="0">SUM(C7:C8)</f>
        <v>2006.4705882352939</v>
      </c>
      <c r="D9" s="594">
        <f t="shared" si="0"/>
        <v>0</v>
      </c>
      <c r="E9" s="594">
        <f t="shared" si="0"/>
        <v>0</v>
      </c>
      <c r="F9" s="594">
        <f t="shared" si="0"/>
        <v>0</v>
      </c>
      <c r="G9" s="594">
        <f t="shared" si="0"/>
        <v>0</v>
      </c>
      <c r="H9" s="594">
        <f t="shared" si="0"/>
        <v>0</v>
      </c>
      <c r="I9" s="594">
        <f t="shared" si="0"/>
        <v>0</v>
      </c>
      <c r="J9" s="594">
        <f t="shared" si="0"/>
        <v>14961.176470588234</v>
      </c>
      <c r="K9" s="594">
        <f t="shared" si="0"/>
        <v>0</v>
      </c>
      <c r="L9" s="594">
        <f t="shared" si="0"/>
        <v>0</v>
      </c>
      <c r="M9" s="595">
        <f>SUM(M4:M8)</f>
        <v>405.30705882352942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20603.571428571431</v>
      </c>
      <c r="C16" s="610">
        <f>B101</f>
        <v>2866.386554621849</v>
      </c>
      <c r="D16" s="611"/>
      <c r="E16" s="611">
        <f>E101</f>
        <v>0</v>
      </c>
      <c r="F16" s="612"/>
      <c r="G16" s="613"/>
      <c r="H16" s="610">
        <f>I101</f>
        <v>0</v>
      </c>
      <c r="I16" s="611">
        <f>G101+F101</f>
        <v>0</v>
      </c>
      <c r="J16" s="611">
        <f>H101+D101+C101</f>
        <v>21373.109243697483</v>
      </c>
      <c r="K16" s="611"/>
      <c r="L16" s="614"/>
      <c r="M16" s="615">
        <f>C16*$C$21+E16*$E$21+H16*$H$21+I16*$I$21+J16*$J$21+D16*$D$21+F16*$F$21+G16*$G$21+K16*$K$21+L16*$L$21</f>
        <v>579.01008403361357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20603.571428571431</v>
      </c>
      <c r="C19" s="593">
        <f>SUM(C16:C18)</f>
        <v>2866.386554621849</v>
      </c>
      <c r="D19" s="593">
        <f t="shared" ref="D19:M19" si="1">SUM(D16:D18)</f>
        <v>0</v>
      </c>
      <c r="E19" s="593">
        <f t="shared" si="1"/>
        <v>0</v>
      </c>
      <c r="F19" s="593">
        <f t="shared" si="1"/>
        <v>0</v>
      </c>
      <c r="G19" s="593">
        <f t="shared" si="1"/>
        <v>0</v>
      </c>
      <c r="H19" s="593">
        <f t="shared" si="1"/>
        <v>0</v>
      </c>
      <c r="I19" s="593">
        <f t="shared" si="1"/>
        <v>0</v>
      </c>
      <c r="J19" s="593">
        <f t="shared" si="1"/>
        <v>21373.109243697483</v>
      </c>
      <c r="K19" s="593">
        <f t="shared" si="1"/>
        <v>0</v>
      </c>
      <c r="L19" s="593">
        <f t="shared" si="1"/>
        <v>0</v>
      </c>
      <c r="M19" s="620">
        <f t="shared" si="1"/>
        <v>579.01008403361357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73083</v>
      </c>
      <c r="C27" s="851">
        <v>3700</v>
      </c>
      <c r="D27" s="672" t="s">
        <v>809</v>
      </c>
      <c r="E27" s="671" t="s">
        <v>810</v>
      </c>
      <c r="F27" s="671" t="s">
        <v>811</v>
      </c>
      <c r="G27" s="671" t="s">
        <v>812</v>
      </c>
      <c r="H27" s="671" t="s">
        <v>813</v>
      </c>
      <c r="I27" s="671" t="s">
        <v>810</v>
      </c>
      <c r="J27" s="850">
        <v>41131</v>
      </c>
      <c r="K27" s="850">
        <v>41131</v>
      </c>
      <c r="L27" s="671" t="s">
        <v>814</v>
      </c>
      <c r="M27" s="671">
        <v>2826</v>
      </c>
      <c r="N27" s="671">
        <v>12717</v>
      </c>
      <c r="O27" s="671">
        <v>18167.142857142859</v>
      </c>
      <c r="P27" s="671">
        <v>0</v>
      </c>
      <c r="Q27" s="671">
        <v>36334.285714285717</v>
      </c>
      <c r="R27" s="671">
        <v>0</v>
      </c>
      <c r="S27" s="671">
        <v>0</v>
      </c>
      <c r="T27" s="671">
        <v>0</v>
      </c>
      <c r="U27" s="671">
        <v>0</v>
      </c>
      <c r="V27" s="671">
        <v>0</v>
      </c>
      <c r="W27" s="671">
        <v>0</v>
      </c>
      <c r="X27" s="671">
        <v>10</v>
      </c>
      <c r="Y27" s="671" t="s">
        <v>112</v>
      </c>
      <c r="Z27" s="673" t="s">
        <v>112</v>
      </c>
    </row>
    <row r="28" spans="1:26" s="625" customFormat="1" ht="38.25">
      <c r="A28" s="624"/>
      <c r="B28" s="851">
        <v>73083</v>
      </c>
      <c r="C28" s="851">
        <v>3700</v>
      </c>
      <c r="D28" s="672" t="s">
        <v>815</v>
      </c>
      <c r="E28" s="671"/>
      <c r="F28" s="671" t="s">
        <v>816</v>
      </c>
      <c r="G28" s="671" t="s">
        <v>812</v>
      </c>
      <c r="H28" s="671" t="s">
        <v>813</v>
      </c>
      <c r="I28" s="671" t="s">
        <v>817</v>
      </c>
      <c r="J28" s="850">
        <v>41869</v>
      </c>
      <c r="K28" s="850">
        <v>42117</v>
      </c>
      <c r="L28" s="671" t="s">
        <v>818</v>
      </c>
      <c r="M28" s="671">
        <v>379</v>
      </c>
      <c r="N28" s="671">
        <v>1705.5</v>
      </c>
      <c r="O28" s="671">
        <v>2436.4285714285716</v>
      </c>
      <c r="P28" s="671">
        <v>4872.8571428571431</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3205</v>
      </c>
      <c r="N57" s="629">
        <f>SUM(N27:N56)</f>
        <v>14422.5</v>
      </c>
      <c r="O57" s="629">
        <f t="shared" ref="O57:W57" si="2">SUM(O27:O56)</f>
        <v>20603.571428571431</v>
      </c>
      <c r="P57" s="629">
        <f t="shared" si="2"/>
        <v>4872.8571428571431</v>
      </c>
      <c r="Q57" s="629">
        <f t="shared" si="2"/>
        <v>36334.285714285717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379</v>
      </c>
      <c r="N59" s="629">
        <f ca="1">SUMIF($Z$27:AB56,"tertiair",N27:N56)</f>
        <v>1705.5</v>
      </c>
      <c r="O59" s="629">
        <f ca="1">SUMIF($Z$27:AC56,"tertiair",O27:O56)</f>
        <v>2436.4285714285716</v>
      </c>
      <c r="P59" s="629">
        <f ca="1">SUMIF($Z$27:AD56,"tertiair",P27:P56)</f>
        <v>4872.8571428571431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2826</v>
      </c>
      <c r="N60" s="634">
        <f t="shared" ref="N60:W60" si="4">SUMIF($Z$27:$Z$56,"landbouw",N27:N56)</f>
        <v>12717</v>
      </c>
      <c r="O60" s="634">
        <f t="shared" si="4"/>
        <v>18167.142857142859</v>
      </c>
      <c r="P60" s="634">
        <f t="shared" si="4"/>
        <v>0</v>
      </c>
      <c r="Q60" s="634">
        <f t="shared" si="4"/>
        <v>36334.285714285717</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2006.4705882352939</v>
      </c>
      <c r="C100" s="663">
        <f t="shared" si="9"/>
        <v>14961.176470588234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2866.386554621849</v>
      </c>
      <c r="C101" s="666">
        <f t="shared" ref="C101:H101" si="10">$B$97*Q57</f>
        <v>21373.109243697483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2018-09-06T12:49:32Z</dcterms:modified>
</cp:coreProperties>
</file>