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8" i="15"/>
  <c r="C20" s="1"/>
  <c r="D36" i="14" s="1"/>
  <c r="C20" i="16"/>
  <c r="C22" s="1"/>
  <c r="D39" i="14"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C22" l="1"/>
  <c r="C31" s="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<sst xmlns="http://schemas.openxmlformats.org/spreadsheetml/2006/main" count="1923" uniqueCount="815">
  <si>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</si>
  <si>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</si>
  <si>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</si>
  <si>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</si>
  <si>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</si>
  <si>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</si>
  <si>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</si>
  <si>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</si>
  <si>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</si>
  <si>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</si>
  <si>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</si>
  <si>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</si>
  <si>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</si>
  <si>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</si>
  <si>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</si>
  <si>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</si>
  <si>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</si>
  <si>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</si>
  <si>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</si>
  <si>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</si>
  <si>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</si>
  <si>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</si>
  <si>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</si>
  <si>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</si>
  <si>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</si>
  <si>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</si>
  <si>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</si>
  <si>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</si>
  <si>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</si>
  <si>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</si>
  <si>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</si>
  <si>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</si>
  <si>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</si>
  <si>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</si>
  <si>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</si>
  <si>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</si>
  <si>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</si>
  <si>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</si>
  <si>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</si>
  <si>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</si>
  <si>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</si>
  <si>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</si>
  <si>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</si>
  <si>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</si>
  <si>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</si>
  <si>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</si>
  <si>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</si>
  <si>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</si>
  <si>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</si>
  <si>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</si>
  <si>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</si>
  <si>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</si>
  <si>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</si>
  <si>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</si>
  <si>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</si>
  <si>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</si>
  <si>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</si>
  <si>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</si>
  <si>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</si>
  <si>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</si>
  <si>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</si>
  <si>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</si>
  <si>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</si>
  <si>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</si>
  <si>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</si>
  <si>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</si>
  <si>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</si>
  <si>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</si>
  <si>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</si>
  <si>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</si>
  <si>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</si>
  <si>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</si>
  <si>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</si>
  <si>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</si>
  <si>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</si>
  <si>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</si>
  <si>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</si>
  <si>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</si>
  <si>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</si>
  <si>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</si>
  <si>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</si>
  <si>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</si>
  <si>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</si>
  <si>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</si>
  <si>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</si>
  <si>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</si>
  <si>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</si>
  <si>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</si>
  <si>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</si>
  <si>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</si>
  <si>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</si>
  <si>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</si>
  <si>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</si>
  <si>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</si>
  <si>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</si>
  <si>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</si>
  <si>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</si>
  <si>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</si>
  <si>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</si>
  <si>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</si>
  <si>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</si>
  <si>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</si>
  <si>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</si>
  <si>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</si>
  <si>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</si>
  <si>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</si>
  <si>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</si>
  <si>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</si>
  <si>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</si>
  <si>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</si>
  <si>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</si>
  <si>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</si>
  <si>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</si>
  <si>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</si>
  <si>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</si>
  <si>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</si>
  <si>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</si>
  <si>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</si>
  <si>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</si>
  <si>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</si>
  <si>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</si>
  <si>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</si>
  <si>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</si>
  <si>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</si>
  <si>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</si>
  <si>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</si>
  <si>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</si>
  <si>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</si>
  <si>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</si>
  <si>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</si>
  <si>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</si>
  <si>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</si>
  <si>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</si>
  <si>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</si>
  <si>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</si>
  <si>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</si>
  <si>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</si>
  <si>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</si>
  <si>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</si>
  <si>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</si>
  <si>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</si>
  <si>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</si>
  <si>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</si>
  <si>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</si>
  <si>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</si>
  <si>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</si>
  <si>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</si>
  <si>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</si>
  <si>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</si>
  <si>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</si>
  <si>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</si>
  <si>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</si>
  <si>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</si>
  <si>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</si>
  <si>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</si>
  <si>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</si>
  <si>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</si>
  <si>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</si>
  <si>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</si>
  <si>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</si>
  <si>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</si>
  <si>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</si>
  <si>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</si>
  <si>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</si>
  <si>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</si>
  <si>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</si>
  <si>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</si>
  <si>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</si>
  <si>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</si>
  <si>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</si>
  <si>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</si>
  <si>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</si>
  <si>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</si>
  <si>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</si>
  <si>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</si>
  <si>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</si>
  <si>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</si>
  <si>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</si>
  <si>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</si>
  <si>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</si>
  <si>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</si>
  <si>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</si>
  <si>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</si>
  <si>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</si>
  <si>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</si>
  <si>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</si>
  <si>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</si>
  <si>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</si>
  <si>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</si>
  <si>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</si>
  <si>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</si>
  <si>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</si>
  <si>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</si>
  <si>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</si>
  <si>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</si>
  <si>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</si>
  <si>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</si>
  <si>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</si>
  <si>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</si>
  <si>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</si>
  <si>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</si>
  <si>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</si>
  <si>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</si>
  <si>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</si>
  <si>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</si>
  <si>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</si>
  <si>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</si>
  <si>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</si>
  <si>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</si>
  <si>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</si>
  <si>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</si>
  <si>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</si>
  <si>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</si>
  <si>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</si>
  <si>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</si>
  <si>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</si>
  <si>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</si>
  <si>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</si>
  <si>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</si>
  <si>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</si>
  <si>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</si>
  <si>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</si>
  <si>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</si>
  <si>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</si>
  <si>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</si>
  <si>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</si>
  <si>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</si>
  <si>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</si>
  <si>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</si>
  <si>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</si>
  <si>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</si>
  <si>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</si>
  <si>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</si>
  <si>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</si>
  <si>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</si>
  <si>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</si>
  <si>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</si>
  <si>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</si>
  <si>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</si>
  <si>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</si>
  <si>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</si>
  <si>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</si>
  <si>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</si>
  <si>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</si>
  <si>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</si>
  <si>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</si>
  <si>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</si>
  <si>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</si>
  <si>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</si>
  <si>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</si>
  <si>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</si>
  <si>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</si>
  <si>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</si>
  <si>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</si>
  <si>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</si>
  <si>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</si>
  <si>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</si>
  <si>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</si>
  <si>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</si>
  <si>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</si>
  <si>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</si>
  <si>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</si>
  <si>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</si>
  <si>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</si>
  <si>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</si>
  <si>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</si>
  <si>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</si>
  <si>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</si>
  <si>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</si>
  <si>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</si>
  <si>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</si>
  <si>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</si>
  <si>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</si>
  <si>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</si>
  <si>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</si>
  <si>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</si>
  <si>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</si>
  <si>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</si>
  <si>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</si>
  <si>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</si>
  <si>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</si>
  <si>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</si>
  <si>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</si>
  <si>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</si>
  <si>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</si>
  <si>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</si>
  <si>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</si>
  <si>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</si>
  <si>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</si>
  <si>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</si>
  <si>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</si>
  <si>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</si>
  <si>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</si>
  <si>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</si>
  <si>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</si>
  <si>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</si>
  <si>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</si>
  <si>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</si>
  <si>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</si>
  <si>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</si>
  <si>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</si>
  <si>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</si>
  <si>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</si>
  <si>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</si>
  <si>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</si>
  <si>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</si>
  <si>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</si>
  <si>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</si>
  <si>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</si>
  <si>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</si>
  <si>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</si>
  <si>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</si>
  <si>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</si>
  <si>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</si>
  <si>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</si>
  <si>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</si>
  <si>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</si>
  <si>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</si>
  <si>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</si>
  <si>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</si>
  <si>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</si>
  <si>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</si>
  <si>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</si>
  <si>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</si>
  <si>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</si>
  <si>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</si>
  <si>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</si>
  <si>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</si>
  <si>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</si>
  <si>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</si>
  <si>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</si>
  <si>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</si>
  <si>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</si>
  <si>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</si>
  <si>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</si>
  <si>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</si>
  <si>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</si>
  <si>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</si>
  <si>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</si>
  <si>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</si>
  <si>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</si>
  <si>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</si>
  <si>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</si>
  <si>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</si>
  <si>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</si>
  <si>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</si>
  <si>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</si>
  <si>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</si>
  <si>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</si>
  <si>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</si>
  <si>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</si>
  <si>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</si>
  <si>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</si>
  <si>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</si>
  <si>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</si>
  <si>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</si>
  <si>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</si>
  <si>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</si>
  <si>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</si>
  <si>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</si>
  <si>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</si>
  <si>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</si>
  <si>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</si>
  <si>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</si>
  <si>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</si>
  <si>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</si>
  <si>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</si>
  <si>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</si>
  <si>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</si>
  <si>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</si>
  <si>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</si>
  <si>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</si>
  <si>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</si>
  <si>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</si>
  <si>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</si>
  <si>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</si>
  <si>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</si>
  <si>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</si>
  <si>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</si>
  <si>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</si>
  <si>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</si>
  <si>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</si>
  <si>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</si>
  <si>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</si>
  <si>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</si>
  <si>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</si>
  <si>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</si>
  <si>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</si>
  <si>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</si>
  <si>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</si>
  <si>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</si>
  <si>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</si>
  <si>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</si>
  <si>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</si>
  <si>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</si>
  <si>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</si>
  <si>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</si>
  <si>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</si>
  <si>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</si>
  <si>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</si>
  <si>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</si>
  <si>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</si>
  <si>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</si>
  <si>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</si>
  <si>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</si>
  <si>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</si>
  <si>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</si>
  <si>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</si>
  <si>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</si>
  <si>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</si>
  <si>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</si>
  <si>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</si>
  <si>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</si>
  <si>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</si>
  <si>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</si>
  <si>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</si>
  <si>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</si>
  <si>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</si>
  <si>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</si>
  <si>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</si>
  <si>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</si>
  <si>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</si>
  <si>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</si>
  <si>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</si>
  <si>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</si>
  <si>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</si>
  <si>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</si>
  <si>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</si>
  <si>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</si>
  <si>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</si>
  <si>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</si>
  <si>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</si>
  <si>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</si>
  <si>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</si>
  <si>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</si>
  <si>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</si>
  <si>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</si>
  <si>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</si>
  <si>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</si>
  <si>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</si>
  <si>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</si>
  <si>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</si>
  <si>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</si>
  <si>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</si>
  <si>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</si>
  <si>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</si>
  <si>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</si>
  <si>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</si>
  <si>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</si>
  <si>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</si>
  <si>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</si>
  <si>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</si>
  <si>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</si>
  <si>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</si>
  <si>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</si>
  <si>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</si>
  <si>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</si>
  <si>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</si>
  <si>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</si>
  <si>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</si>
  <si>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</si>
  <si>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</si>
  <si>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</si>
  <si>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</si>
  <si>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</si>
  <si>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</si>
  <si>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</si>
  <si>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</si>
  <si>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</si>
  <si>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</si>
  <si>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</si>
  <si>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</si>
  <si>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</si>
  <si>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</si>
  <si>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</si>
  <si>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</si>
  <si>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</si>
  <si>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</si>
  <si>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</si>
  <si>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</si>
  <si>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</si>
  <si>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</si>
  <si>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</si>
  <si>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</si>
  <si>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</si>
  <si>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</si>
  <si>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</si>
  <si>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</si>
  <si>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</si>
  <si>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</si>
  <si>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</si>
  <si>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</si>
  <si>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</si>
  <si>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</si>
  <si>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</si>
  <si>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</si>
  <si>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</si>
  <si>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</si>
  <si>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</si>
  <si>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</si>
  <si>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</si>
  <si>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</si>
  <si>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</si>
  <si>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</si>
  <si>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</si>
  <si>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</si>
  <si>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</si>
  <si>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</si>
  <si>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</si>
  <si>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</si>
  <si>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</si>
  <si>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</si>
  <si>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</si>
  <si>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</si>
  <si>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</si>
  <si>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</si>
  <si>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</si>
  <si>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</si>
  <si>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</si>
  <si>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</si>
  <si>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</si>
  <si>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</si>
  <si>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</si>
  <si>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</si>
  <si>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</si>
  <si>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</si>
  <si>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</si>
  <si>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</si>
  <si>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</si>
  <si>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</si>
  <si>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</si>
  <si>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</si>
  <si>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</si>
  <si>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</si>
  <si>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</si>
  <si>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</si>
  <si>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</si>
  <si>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</si>
  <si>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</si>
  <si>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</si>
  <si>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</si>
  <si>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</si>
  <si>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</si>
  <si>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</si>
  <si>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</si>
  <si>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</si>
  <si>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</si>
  <si>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</si>
  <si>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</si>
  <si>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</si>
  <si>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</si>
  <si>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</si>
  <si>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</si>
  <si>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</si>
  <si>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</si>
  <si>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</si>
  <si>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</si>
  <si>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</si>
  <si>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</si>
  <si>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</si>
  <si>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</si>
  <si>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</si>
  <si>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</si>
  <si>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</si>
  <si>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</si>
  <si>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</si>
  <si>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</si>
  <si>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</si>
  <si>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</si>
  <si>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</si>
  <si>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</si>
  <si>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</si>
  <si>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</si>
  <si>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</si>
  <si>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</si>
  <si>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</si>
  <si>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</si>
  <si>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</si>
  <si>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</si>
  <si>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</si>
  <si>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</si>
  <si>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</si>
  <si>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</si>
  <si>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</si>
  <si>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</si>
  <si>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</si>
  <si>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</si>
  <si>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</si>
  <si>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</si>
  <si>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</si>
  <si>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</si>
  <si>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</si>
  <si>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</si>
  <si>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</si>
  <si>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</si>
  <si>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</si>
  <si>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</si>
  <si>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</si>
  <si>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</si>
  <si>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</si>
  <si>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</si>
  <si>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</si>
  <si>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</si>
  <si>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</si>
  <si>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</si>
  <si>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</si>
  <si>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</si>
  <si>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</si>
  <si>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</si>
  <si>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</si>
  <si>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</si>
  <si>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</si>
  <si>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</si>
  <si>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</si>
  <si>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</si>
  <si>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</si>
  <si>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</si>
  <si>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</si>
  <si>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</si>
  <si>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</si>
  <si>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</si>
  <si>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</si>
  <si>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</si>
  <si>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</si>
  <si>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</si>
  <si>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</si>
  <si>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</si>
  <si>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</si>
  <si>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</si>
  <si>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</si>
  <si>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</si>
  <si>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</si>
  <si>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</si>
  <si>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</si>
  <si>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</si>
  <si>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</si>
  <si>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</si>
  <si>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</si>
  <si>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</si>
  <si>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</si>
  <si>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</si>
  <si>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</si>
  <si>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</si>
  <si>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</si>
  <si>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</si>
  <si>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</si>
  <si>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</si>
  <si>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</si>
  <si>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</si>
  <si>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</si>
  <si>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</si>
  <si>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</si>
  <si>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</si>
  <si>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</si>
  <si>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</si>
  <si>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</si>
  <si>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</si>
  <si>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</si>
  <si>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</si>
  <si>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</si>
  <si>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</si>
  <si>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</si>
  <si>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</si>
  <si>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</si>
  <si>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</si>
  <si>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</si>
  <si>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</si>
  <si>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</si>
  <si>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</si>
  <si>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</si>
  <si>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</si>
  <si>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</si>
  <si>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</si>
  <si>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</si>
  <si>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</si>
  <si>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</si>
  <si>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</si>
  <si>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</si>
  <si>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</si>
  <si>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</si>
  <si>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</si>
  <si>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</si>
  <si>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</si>
  <si>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</si>
  <si>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</si>
  <si>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</si>
  <si>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</si>
  <si>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</si>
  <si>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</si>
  <si>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</si>
  <si>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</si>
  <si>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</si>
  <si>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</si>
  <si>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</si>
  <si>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</si>
  <si>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</si>
  <si>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</si>
  <si>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</si>
  <si>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</si>
  <si>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</si>
  <si>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</si>
  <si>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</si>
  <si>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</si>
  <si>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</si>
  <si>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</si>
  <si>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</si>
  <si>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</si>
  <si>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</si>
  <si>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</si>
  <si>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</si>
  <si>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</si>
  <si>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</si>
  <si>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</si>
  <si>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</si>
  <si>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</si>
  <si>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</si>
  <si>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</si>
  <si>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</si>
  <si>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</si>
  <si>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</si>
  <si>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</si>
  <si>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</si>
  <si>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</si>
  <si>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</si>
  <si>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</si>
  <si>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</si>
  <si>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</si>
  <si>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</si>
  <si>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</si>
  <si>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</si>
  <si>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</si>
  <si>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</si>
  <si>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</si>
  <si>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</si>
  <si>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</si>
  <si>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</si>
  <si>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</si>
  <si>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</si>
  <si>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</si>
  <si>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</si>
  <si>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</si>
  <si>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</si>
  <si>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</si>
  <si>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</si>
  <si>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</si>
  <si>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</si>
  <si>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</si>
  <si>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</si>
  <si>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</si>
  <si>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</si>
  <si>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</si>
  <si>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</si>
  <si>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</si>
  <si>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</si>
  <si>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</si>
  <si>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</si>
  <si>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</si>
  <si>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</si>
  <si>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</si>
  <si>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</si>
  <si>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</si>
  <si>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</si>
  <si>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</si>
  <si>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</si>
  <si>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</si>
  <si>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</si>
  <si>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</si>
  <si>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</si>
  <si>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</si>
  <si>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</si>
  <si>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</si>
  <si>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</si>
  <si>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</si>
  <si>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</si>
  <si>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</si>
  <si>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</si>
  <si>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</si>
  <si>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</si>
  <si>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</si>
  <si>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</si>
  <si>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</si>
  <si>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</si>
  <si>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</si>
  <si>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</si>
  <si>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</si>
  <si>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</si>
  <si>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</si>
  <si>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</si>
  <si>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</si>
  <si>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</si>
  <si>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</si>
  <si>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</si>
  <si>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</si>
  <si>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</si>
  <si>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</si>
  <si>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</si>
  <si>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</si>
  <si>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</si>
  <si>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</si>
  <si>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</si>
  <si>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</si>
  <si>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73066</t>
  </si>
  <si>
    <t>RIEMST</t>
  </si>
  <si>
    <t>Eandis (januari 2018); Infrax (juni 2018)</t>
  </si>
  <si>
    <t>MOW (september 2017)</t>
  </si>
  <si>
    <t>referentietaak LNE (2017); Jaarverslag De Lijn (2016)</t>
  </si>
  <si>
    <t>VEA (april 2018)</t>
  </si>
  <si>
    <t>VEA (januari 2017)</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</si>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</sst>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159691.07137651174</c:v>
                </c:pt>
                <c:pt idx="1">
                  <c:v>36022.666625583581</c:v>
                </c:pt>
                <c:pt idx="2">
                  <c:v>898.59199999999998</c:v>
                </c:pt>
                <c:pt idx="3">
                  <c:v>16966.982964562165</c:v>
                </c:pt>
                <c:pt idx="4">
                  <c:v>5859.4227952890151</c:v>
                </c:pt>
                <c:pt idx="5">
                  <c:v>132019.01861522047</c:v>
                </c:pt>
                <c:pt idx="6">
                  <c:v>1704.9847627985632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4272"/>
        <c:axId val="156460160"/>
      </c:barChart>
      <c:catAx>
        <c:axId val="156454272"/>
        <c:scaling>
          <c:orientation val="minMax"/>
        </c:scaling>
        <c:axPos val="b"/>
        <c:numFmt formatCode="General" sourceLinked="0"/>
        <c:tickLblPos val="nextTo"/>
        <c:crossAx val="156460160"/>
        <c:crosses val="autoZero"/>
        <c:auto val="1"/>
        <c:lblAlgn val="ctr"/>
        <c:lblOffset val="100"/>
      </c:catAx>
      <c:valAx>
        <c:axId val="156460160"/>
        <c:scaling>
          <c:orientation val="minMax"/>
        </c:scaling>
        <c:axPos val="l"/>
        <c:majorGridlines/>
        <c:numFmt formatCode="#,##0" sourceLinked="1"/>
        <c:tickLblPos val="nextTo"/>
        <c:crossAx val="156454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159691.07137651174</c:v>
                </c:pt>
                <c:pt idx="1">
                  <c:v>36022.666625583581</c:v>
                </c:pt>
                <c:pt idx="2">
                  <c:v>898.59199999999998</c:v>
                </c:pt>
                <c:pt idx="3">
                  <c:v>16966.982964562165</c:v>
                </c:pt>
                <c:pt idx="4">
                  <c:v>5859.4227952890151</c:v>
                </c:pt>
                <c:pt idx="5">
                  <c:v>132019.01861522047</c:v>
                </c:pt>
                <c:pt idx="6">
                  <c:v>1704.9847627985632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34081.956186406227</c:v>
                </c:pt>
                <c:pt idx="1">
                  <c:v>6087.9768704681119</c:v>
                </c:pt>
                <c:pt idx="2">
                  <c:v>167.13190819132333</c:v>
                </c:pt>
                <c:pt idx="3">
                  <c:v>4087.2374444959701</c:v>
                </c:pt>
                <c:pt idx="4">
                  <c:v>1095.6544670325366</c:v>
                </c:pt>
                <c:pt idx="5">
                  <c:v>33047.633954663455</c:v>
                </c:pt>
                <c:pt idx="6">
                  <c:v>430.765360819271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6448"/>
        <c:axId val="156946432"/>
      </c:barChart>
      <c:catAx>
        <c:axId val="156936448"/>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3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34081.956186406227</c:v>
                </c:pt>
                <c:pt idx="1">
                  <c:v>6087.9768704681119</c:v>
                </c:pt>
                <c:pt idx="2">
                  <c:v>167.13190819132333</c:v>
                </c:pt>
                <c:pt idx="3">
                  <c:v>4087.2374444959701</c:v>
                </c:pt>
                <c:pt idx="4">
                  <c:v>1095.6544670325366</c:v>
                </c:pt>
                <c:pt idx="5">
                  <c:v>33047.633954663455</c:v>
                </c:pt>
                <c:pt idx="6">
                  <c:v>430.765360819271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73066</v>
      </c>
      <c r="B6" s="415"/>
      <c r="C6" s="416"/>
    </row>
    <row r="7" spans="1:7" s="413" customFormat="1" ht="15.75" customHeight="1">
      <c r="A7" s="417" t="str">
        <f>txtMunicipality</f>
        <v>RIEMST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6746</v>
      </c>
      <c r="C9" s="342">
        <v>6818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4295.45</v>
      </c>
    </row>
    <row r="15" spans="1:6">
      <c r="A15" s="348" t="s">
        <v>184</v>
      </c>
      <c r="B15" s="334">
        <v>8</v>
      </c>
    </row>
    <row r="16" spans="1:6">
      <c r="A16" s="348" t="s">
        <v>6</v>
      </c>
      <c r="B16" s="334">
        <v>243</v>
      </c>
    </row>
    <row r="17" spans="1:6">
      <c r="A17" s="348" t="s">
        <v>7</v>
      </c>
      <c r="B17" s="334">
        <v>863</v>
      </c>
    </row>
    <row r="18" spans="1:6">
      <c r="A18" s="348" t="s">
        <v>8</v>
      </c>
      <c r="B18" s="334">
        <v>901</v>
      </c>
    </row>
    <row r="19" spans="1:6">
      <c r="A19" s="348" t="s">
        <v>9</v>
      </c>
      <c r="B19" s="334">
        <v>965</v>
      </c>
    </row>
    <row r="20" spans="1:6">
      <c r="A20" s="348" t="s">
        <v>10</v>
      </c>
      <c r="B20" s="334">
        <v>410</v>
      </c>
    </row>
    <row r="21" spans="1:6">
      <c r="A21" s="348" t="s">
        <v>11</v>
      </c>
      <c r="B21" s="334">
        <v>6439</v>
      </c>
    </row>
    <row r="22" spans="1:6">
      <c r="A22" s="348" t="s">
        <v>12</v>
      </c>
      <c r="B22" s="334">
        <v>20248</v>
      </c>
    </row>
    <row r="23" spans="1:6">
      <c r="A23" s="348" t="s">
        <v>13</v>
      </c>
      <c r="B23" s="334">
        <v>245</v>
      </c>
    </row>
    <row r="24" spans="1:6">
      <c r="A24" s="348" t="s">
        <v>14</v>
      </c>
      <c r="B24" s="334">
        <v>15</v>
      </c>
    </row>
    <row r="25" spans="1:6">
      <c r="A25" s="348" t="s">
        <v>15</v>
      </c>
      <c r="B25" s="334">
        <v>1337</v>
      </c>
    </row>
    <row r="26" spans="1:6">
      <c r="A26" s="348" t="s">
        <v>16</v>
      </c>
      <c r="B26" s="334">
        <v>346</v>
      </c>
    </row>
    <row r="27" spans="1:6">
      <c r="A27" s="348" t="s">
        <v>17</v>
      </c>
      <c r="B27" s="334">
        <v>554</v>
      </c>
    </row>
    <row r="28" spans="1:6" s="356" customFormat="1">
      <c r="A28" s="355" t="s">
        <v>18</v>
      </c>
      <c r="B28" s="355">
        <v>30</v>
      </c>
    </row>
    <row r="29" spans="1:6">
      <c r="A29" s="355" t="s">
        <v>744</v>
      </c>
      <c r="B29" s="355">
        <v>85</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73457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2575</v>
      </c>
      <c r="D39" s="334">
        <v>43938074.70000001</v>
      </c>
      <c r="E39" s="334">
        <v>6651</v>
      </c>
      <c r="F39" s="334">
        <v>23117324.25</v>
      </c>
    </row>
    <row r="40" spans="1:6">
      <c r="A40" s="348" t="s">
        <v>30</v>
      </c>
      <c r="B40" s="348" t="s">
        <v>29</v>
      </c>
      <c r="C40" s="334">
        <v>0</v>
      </c>
      <c r="D40" s="334">
        <v>0</v>
      </c>
      <c r="E40" s="334">
        <v>0</v>
      </c>
      <c r="F40" s="334">
        <v>0</v>
      </c>
    </row>
    <row r="41" spans="1:6">
      <c r="A41" s="348" t="s">
        <v>32</v>
      </c>
      <c r="B41" s="348" t="s">
        <v>33</v>
      </c>
      <c r="C41" s="334">
        <v>47</v>
      </c>
      <c r="D41" s="334">
        <v>1053669.6499999999</v>
      </c>
      <c r="E41" s="334">
        <v>137</v>
      </c>
      <c r="F41" s="334">
        <v>1102805.75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56190</v>
      </c>
    </row>
    <row r="45" spans="1:6">
      <c r="A45" s="348" t="s">
        <v>32</v>
      </c>
      <c r="B45" s="348" t="s">
        <v>37</v>
      </c>
      <c r="C45" s="334">
        <v>0</v>
      </c>
      <c r="D45" s="334">
        <v>0</v>
      </c>
      <c r="E45" s="334">
        <v>6</v>
      </c>
      <c r="F45" s="334">
        <v>579604</v>
      </c>
    </row>
    <row r="46" spans="1:6">
      <c r="A46" s="348" t="s">
        <v>32</v>
      </c>
      <c r="B46" s="348" t="s">
        <v>38</v>
      </c>
      <c r="C46" s="334">
        <v>0</v>
      </c>
      <c r="D46" s="334">
        <v>0</v>
      </c>
      <c r="E46" s="334">
        <v>0</v>
      </c>
      <c r="F46" s="334">
        <v>0</v>
      </c>
    </row>
    <row r="47" spans="1:6">
      <c r="A47" s="348" t="s">
        <v>32</v>
      </c>
      <c r="B47" s="348" t="s">
        <v>39</v>
      </c>
      <c r="C47" s="334">
        <v>0</v>
      </c>
      <c r="D47" s="334">
        <v>0</v>
      </c>
      <c r="E47" s="334">
        <v>4</v>
      </c>
      <c r="F47" s="334">
        <v>37566</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5</v>
      </c>
      <c r="D50" s="334">
        <v>356345</v>
      </c>
      <c r="E50" s="334">
        <v>17</v>
      </c>
      <c r="F50" s="334">
        <v>685472</v>
      </c>
    </row>
    <row r="51" spans="1:6">
      <c r="A51" s="348" t="s">
        <v>42</v>
      </c>
      <c r="B51" s="348" t="s">
        <v>43</v>
      </c>
      <c r="C51" s="334">
        <v>16</v>
      </c>
      <c r="D51" s="334">
        <v>4315278</v>
      </c>
      <c r="E51" s="334">
        <v>140</v>
      </c>
      <c r="F51" s="334">
        <v>2433882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898592</v>
      </c>
    </row>
    <row r="55" spans="1:6">
      <c r="A55" s="348" t="s">
        <v>46</v>
      </c>
      <c r="B55" s="348" t="s">
        <v>29</v>
      </c>
      <c r="C55" s="334">
        <v>0</v>
      </c>
      <c r="D55" s="334">
        <v>0</v>
      </c>
      <c r="E55" s="334">
        <v>0</v>
      </c>
      <c r="F55" s="334">
        <v>0</v>
      </c>
    </row>
    <row r="56" spans="1:6">
      <c r="A56" s="348" t="s">
        <v>48</v>
      </c>
      <c r="B56" s="348" t="s">
        <v>29</v>
      </c>
      <c r="C56" s="334">
        <v>8</v>
      </c>
      <c r="D56" s="334">
        <v>6650479</v>
      </c>
      <c r="E56" s="334">
        <v>11</v>
      </c>
      <c r="F56" s="334">
        <v>527120</v>
      </c>
    </row>
    <row r="57" spans="1:6">
      <c r="A57" s="348" t="s">
        <v>49</v>
      </c>
      <c r="B57" s="348" t="s">
        <v>50</v>
      </c>
      <c r="C57" s="334">
        <v>15</v>
      </c>
      <c r="D57" s="334">
        <v>817011</v>
      </c>
      <c r="E57" s="334">
        <v>77</v>
      </c>
      <c r="F57" s="334">
        <v>6619646</v>
      </c>
    </row>
    <row r="58" spans="1:6">
      <c r="A58" s="348" t="s">
        <v>49</v>
      </c>
      <c r="B58" s="348" t="s">
        <v>51</v>
      </c>
      <c r="C58" s="334">
        <v>18</v>
      </c>
      <c r="D58" s="334">
        <v>886109</v>
      </c>
      <c r="E58" s="334">
        <v>21</v>
      </c>
      <c r="F58" s="334">
        <v>650680</v>
      </c>
    </row>
    <row r="59" spans="1:6">
      <c r="A59" s="348" t="s">
        <v>49</v>
      </c>
      <c r="B59" s="348" t="s">
        <v>52</v>
      </c>
      <c r="C59" s="334">
        <v>68</v>
      </c>
      <c r="D59" s="334">
        <v>3794702.2</v>
      </c>
      <c r="E59" s="334">
        <v>172</v>
      </c>
      <c r="F59" s="334">
        <v>5464490.0999999996</v>
      </c>
    </row>
    <row r="60" spans="1:6">
      <c r="A60" s="348" t="s">
        <v>49</v>
      </c>
      <c r="B60" s="348" t="s">
        <v>53</v>
      </c>
      <c r="C60" s="334">
        <v>29</v>
      </c>
      <c r="D60" s="334">
        <v>1694517</v>
      </c>
      <c r="E60" s="334">
        <v>81</v>
      </c>
      <c r="F60" s="334">
        <v>1809531.15</v>
      </c>
    </row>
    <row r="61" spans="1:6">
      <c r="A61" s="348" t="s">
        <v>49</v>
      </c>
      <c r="B61" s="348" t="s">
        <v>54</v>
      </c>
      <c r="C61" s="334">
        <v>56</v>
      </c>
      <c r="D61" s="334">
        <v>2339602.6</v>
      </c>
      <c r="E61" s="334">
        <v>231</v>
      </c>
      <c r="F61" s="334">
        <v>2960968.15</v>
      </c>
    </row>
    <row r="62" spans="1:6">
      <c r="A62" s="348" t="s">
        <v>49</v>
      </c>
      <c r="B62" s="348" t="s">
        <v>55</v>
      </c>
      <c r="C62" s="334">
        <v>7</v>
      </c>
      <c r="D62" s="334">
        <v>301436</v>
      </c>
      <c r="E62" s="334">
        <v>16</v>
      </c>
      <c r="F62" s="334">
        <v>162759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108241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74146742</v>
      </c>
      <c r="E73" s="476">
        <v>75317805.061731681</v>
      </c>
    </row>
    <row r="74" spans="1:6">
      <c r="A74" s="348" t="s">
        <v>64</v>
      </c>
      <c r="B74" s="348" t="s">
        <v>657</v>
      </c>
      <c r="C74" s="1213" t="s">
        <v>659</v>
      </c>
      <c r="D74" s="476">
        <v>4451789.8186676465</v>
      </c>
      <c r="E74" s="476">
        <v>4569575.452899077</v>
      </c>
    </row>
    <row r="75" spans="1:6">
      <c r="A75" s="348" t="s">
        <v>65</v>
      </c>
      <c r="B75" s="348" t="s">
        <v>656</v>
      </c>
      <c r="C75" s="1213" t="s">
        <v>660</v>
      </c>
      <c r="D75" s="476">
        <v>26954030</v>
      </c>
      <c r="E75" s="476">
        <v>27274813.204206314</v>
      </c>
    </row>
    <row r="76" spans="1:6">
      <c r="A76" s="348" t="s">
        <v>65</v>
      </c>
      <c r="B76" s="348" t="s">
        <v>657</v>
      </c>
      <c r="C76" s="1213" t="s">
        <v>661</v>
      </c>
      <c r="D76" s="476">
        <v>51986.81866764641</v>
      </c>
      <c r="E76" s="476">
        <v>49494.824032186531</v>
      </c>
    </row>
    <row r="77" spans="1:6">
      <c r="A77" s="348" t="s">
        <v>66</v>
      </c>
      <c r="B77" s="348" t="s">
        <v>656</v>
      </c>
      <c r="C77" s="1213" t="s">
        <v>662</v>
      </c>
      <c r="D77" s="476">
        <v>38965160</v>
      </c>
      <c r="E77" s="476">
        <v>39810467.809073485</v>
      </c>
    </row>
    <row r="78" spans="1:6">
      <c r="A78" s="341" t="s">
        <v>66</v>
      </c>
      <c r="B78" s="341" t="s">
        <v>657</v>
      </c>
      <c r="C78" s="341" t="s">
        <v>663</v>
      </c>
      <c r="D78" s="1214">
        <v>9718981</v>
      </c>
      <c r="E78" s="1214">
        <v>8915523.7200573031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462420.36266470718</v>
      </c>
      <c r="C83" s="476">
        <v>472847.44504193333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5610.313822713324</v>
      </c>
    </row>
    <row r="92" spans="1:6">
      <c r="A92" s="341" t="s">
        <v>69</v>
      </c>
      <c r="B92" s="342">
        <v>2611.401682858233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571</v>
      </c>
    </row>
    <row r="98" spans="1:6">
      <c r="A98" s="348" t="s">
        <v>72</v>
      </c>
      <c r="B98" s="334">
        <v>1</v>
      </c>
    </row>
    <row r="99" spans="1:6">
      <c r="A99" s="348" t="s">
        <v>73</v>
      </c>
      <c r="B99" s="334">
        <v>59</v>
      </c>
    </row>
    <row r="100" spans="1:6">
      <c r="A100" s="348" t="s">
        <v>74</v>
      </c>
      <c r="B100" s="334">
        <v>211</v>
      </c>
    </row>
    <row r="101" spans="1:6">
      <c r="A101" s="348" t="s">
        <v>75</v>
      </c>
      <c r="B101" s="334">
        <v>38</v>
      </c>
    </row>
    <row r="102" spans="1:6">
      <c r="A102" s="348" t="s">
        <v>76</v>
      </c>
      <c r="B102" s="334">
        <v>87</v>
      </c>
    </row>
    <row r="103" spans="1:6">
      <c r="A103" s="348" t="s">
        <v>77</v>
      </c>
      <c r="B103" s="334">
        <v>136</v>
      </c>
    </row>
    <row r="104" spans="1:6">
      <c r="A104" s="348" t="s">
        <v>78</v>
      </c>
      <c r="B104" s="334">
        <v>4632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3</v>
      </c>
    </row>
    <row r="131" spans="1:6">
      <c r="A131" s="348" t="s">
        <v>296</v>
      </c>
      <c r="B131" s="334">
        <v>1</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52244.92662446649</v>
      </c>
      <c r="C3" s="43" t="s">
        <v>170</v>
      </c>
      <c r="D3" s="43"/>
      <c r="E3" s="154"/>
      <c r="F3" s="43"/>
      <c r="G3" s="43"/>
      <c r="H3" s="43"/>
      <c r="I3" s="43"/>
      <c r="J3" s="43"/>
      <c r="K3" s="96"/>
    </row>
    <row r="4" spans="1:11">
      <c r="A4" s="383" t="s">
        <v>171</v>
      </c>
      <c r="B4" s="49">
        <f>IF(ISERROR('SEAP template'!B69),0,'SEAP template'!B69)</f>
        <v>8275.7155055715575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0.18599309607844644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77.142857142857139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898.59199999999998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898.59199999999998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0.18599309607844644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167.13190819132333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23117.324250000001</v>
      </c>
      <c r="C5" s="17">
        <f>IF(ISERROR('Eigen informatie GS &amp; warmtenet'!B57),0,'Eigen informatie GS &amp; warmtenet'!B57)</f>
        <v>0</v>
      </c>
      <c r="D5" s="30">
        <f>(SUM(HH_hh_gas_kWh,HH_rest_gas_kWh)/1000)*0.902</f>
        <v>39632.143379400011</v>
      </c>
      <c r="E5" s="17">
        <f>B46*B57</f>
        <v>5210.2734910862346</v>
      </c>
      <c r="F5" s="17">
        <f>B51*B62</f>
        <v>73222.429936800894</v>
      </c>
      <c r="G5" s="18"/>
      <c r="H5" s="17"/>
      <c r="I5" s="17"/>
      <c r="J5" s="17">
        <f>B50*B61+C50*C61</f>
        <v>0</v>
      </c>
      <c r="K5" s="17"/>
      <c r="L5" s="17"/>
      <c r="M5" s="17"/>
      <c r="N5" s="17">
        <f>B48*B59+C48*C59</f>
        <v>11436.279829844598</v>
      </c>
      <c r="O5" s="17">
        <f>B69*B70*B71</f>
        <v>356.44</v>
      </c>
      <c r="P5" s="17">
        <f>B77*B78*B79/1000-B77*B78*B79/1000/B80</f>
        <v>1105.8666666666668</v>
      </c>
    </row>
    <row r="6" spans="1:16">
      <c r="A6" s="16" t="s">
        <v>621</v>
      </c>
      <c r="B6" s="843">
        <f>kWh_PV_kleiner_dan_10kW</f>
        <v>5610.313822713324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28727.638072713326</v>
      </c>
      <c r="C8" s="21">
        <f>C5</f>
        <v>0</v>
      </c>
      <c r="D8" s="21">
        <f>D5</f>
        <v>39632.143379400011</v>
      </c>
      <c r="E8" s="21">
        <f>E5</f>
        <v>5210.2734910862346</v>
      </c>
      <c r="F8" s="21">
        <f>F5</f>
        <v>73222.429936800894</v>
      </c>
      <c r="G8" s="21"/>
      <c r="H8" s="21"/>
      <c r="I8" s="21"/>
      <c r="J8" s="21">
        <f>J5</f>
        <v>0</v>
      </c>
      <c r="K8" s="21"/>
      <c r="L8" s="21">
        <f>L5</f>
        <v>0</v>
      </c>
      <c r="M8" s="21">
        <f>M5</f>
        <v>0</v>
      </c>
      <c r="N8" s="21">
        <f>N5</f>
        <v>11436.279829844598</v>
      </c>
      <c r="O8" s="21">
        <f>O5</f>
        <v>356.44</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0.18599309607844644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5343.1423481650054</v>
      </c>
      <c r="C12" s="23">
        <f ca="1">C10*C8</f>
        <v>0</v>
      </c>
      <c r="D12" s="23">
        <f>D8*D10</f>
        <v>8005.6929626388028</v>
      </c>
      <c r="E12" s="23">
        <f>E10*E8</f>
        <v>1182.7320824765752</v>
      </c>
      <c r="F12" s="23">
        <f>F10*F8</f>
        <v>19550.38879312584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v>
      </c>
      <c r="C18" s="166" t="s">
        <v>111</v>
      </c>
      <c r="D18" s="228"/>
      <c r="E18" s="15"/>
    </row>
    <row r="19" spans="1:7">
      <c r="A19" s="171" t="s">
        <v>72</v>
      </c>
      <c r="B19" s="37">
        <f>aantalw2001_ander</f>
        <v>1</v>
      </c>
      <c r="C19" s="166" t="s">
        <v>111</v>
      </c>
      <c r="D19" s="229"/>
      <c r="E19" s="15"/>
    </row>
    <row r="20" spans="1:7">
      <c r="A20" s="171" t="s">
        <v>73</v>
      </c>
      <c r="B20" s="37">
        <f>aantalw2001_propaan</f>
        <v>59</v>
      </c>
      <c r="C20" s="167">
        <f>IF(ISERROR(B20/SUM($B$20,$B$21,$B$22)*100),0,B20/SUM($B$20,$B$21,$B$22)*100)</f>
        <v>19.155844155844157</v>
      </c>
      <c r="D20" s="229"/>
      <c r="E20" s="15"/>
    </row>
    <row r="21" spans="1:7">
      <c r="A21" s="171" t="s">
        <v>74</v>
      </c>
      <c r="B21" s="37">
        <f>aantalw2001_elektriciteit</f>
        <v>211</v>
      </c>
      <c r="C21" s="167">
        <f>IF(ISERROR(B21/SUM($B$20,$B$21,$B$22)*100),0,B21/SUM($B$20,$B$21,$B$22)*100)</f>
        <v>68.506493506493499</v>
      </c>
      <c r="D21" s="229"/>
      <c r="E21" s="15"/>
    </row>
    <row r="22" spans="1:7">
      <c r="A22" s="171" t="s">
        <v>75</v>
      </c>
      <c r="B22" s="37">
        <f>aantalw2001_hout</f>
        <v>38</v>
      </c>
      <c r="C22" s="167">
        <f>IF(ISERROR(B22/SUM($B$20,$B$21,$B$22)*100),0,B22/SUM($B$20,$B$21,$B$22)*100)</f>
        <v>12.337662337662337</v>
      </c>
      <c r="D22" s="229"/>
      <c r="E22" s="15"/>
    </row>
    <row r="23" spans="1:7">
      <c r="A23" s="171" t="s">
        <v>76</v>
      </c>
      <c r="B23" s="37">
        <f>aantalw2001_niet_gespec</f>
        <v>87</v>
      </c>
      <c r="C23" s="166" t="s">
        <v>111</v>
      </c>
      <c r="D23" s="228"/>
      <c r="E23" s="15"/>
    </row>
    <row r="24" spans="1:7">
      <c r="A24" s="171" t="s">
        <v>77</v>
      </c>
      <c r="B24" s="37">
        <f>aantalw2001_steenkool</f>
        <v>136</v>
      </c>
      <c r="C24" s="166" t="s">
        <v>111</v>
      </c>
      <c r="D24" s="229"/>
      <c r="E24" s="15"/>
    </row>
    <row r="25" spans="1:7">
      <c r="A25" s="171" t="s">
        <v>78</v>
      </c>
      <c r="B25" s="37">
        <f>aantalw2001_stookolie</f>
        <v>4632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6746</v>
      </c>
      <c r="C28" s="36"/>
      <c r="D28" s="228"/>
    </row>
    <row r="29" spans="1:7" s="15" customFormat="1">
      <c r="A29" s="230" t="s">
        <v>795</v>
      </c>
      <c r="B29" s="37">
        <f>SUM(HH_hh_gas_aantal,HH_rest_gas_aantal)</f>
        <v>2575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2575</v>
      </c>
      <c r="C32" s="167">
        <f>IF(ISERROR(B32/SUM($B$32,$B$34,$B$35,$B$36,$B$38,$B$39)*100),0,B32/SUM($B$32,$B$34,$B$35,$B$36,$B$38,$B$39)*100)</f>
        <v>38.501794258373209</v>
      </c>
      <c r="D32" s="233"/>
      <c r="G32" s="15"/>
    </row>
    <row r="33" spans="1:7">
      <c r="A33" s="171" t="s">
        <v>72</v>
      </c>
      <c r="B33" s="34" t="s">
        <v>111</v>
      </c>
      <c r="C33" s="167"/>
      <c r="D33" s="233"/>
      <c r="G33" s="15"/>
    </row>
    <row r="34" spans="1:7">
      <c r="A34" s="171" t="s">
        <v>73</v>
      </c>
      <c r="B34" s="33">
        <f>IF((($B$28-$B$32-$B$39-$B$77-$B$38)*C20/100)&lt;0,0,($B$28-$B$32-$B$39-$B$77-$B$38)*C20/100)</f>
        <v>246.07597402597409</v>
      </c>
      <c r="C34" s="167">
        <f>IF(ISERROR(B34/SUM($B$32,$B$34,$B$35,$B$36,$B$38,$B$39)*100),0,B34/SUM($B$32,$B$34,$B$35,$B$36,$B$38,$B$39)*100)</f>
        <v>3.6793656403405222</v>
      </c>
      <c r="D34" s="233"/>
      <c r="G34" s="15"/>
    </row>
    <row r="35" spans="1:7">
      <c r="A35" s="171" t="s">
        <v>74</v>
      </c>
      <c r="B35" s="33">
        <f>IF((($B$28-$B$32-$B$39-$B$77-$B$38)*C21/100)&lt;0,0,($B$28-$B$32-$B$39-$B$77-$B$38)*C21/100)</f>
        <v>880.03441558441568</v>
      </c>
      <c r="C35" s="167">
        <f>IF(ISERROR(B35/SUM($B$32,$B$34,$B$35,$B$36,$B$38,$B$39)*100),0,B35/SUM($B$32,$B$34,$B$35,$B$36,$B$38,$B$39)*100)</f>
        <v>13.158409323929659</v>
      </c>
      <c r="D35" s="233"/>
      <c r="G35" s="15"/>
    </row>
    <row r="36" spans="1:7">
      <c r="A36" s="171" t="s">
        <v>75</v>
      </c>
      <c r="B36" s="33">
        <f>IF((($B$28-$B$32-$B$39-$B$77-$B$38)*C22/100)&lt;0,0,($B$28-$B$32-$B$39-$B$77-$B$38)*C22/100)</f>
        <v>158.48961038961042</v>
      </c>
      <c r="C36" s="167">
        <f>IF(ISERROR(B36/SUM($B$32,$B$34,$B$35,$B$36,$B$38,$B$39)*100),0,B36/SUM($B$32,$B$34,$B$35,$B$36,$B$38,$B$39)*100)</f>
        <v>2.369760920897285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2828.3999999999996</v>
      </c>
      <c r="C39" s="167">
        <f>IF(ISERROR(B39/SUM($B$32,$B$34,$B$35,$B$36,$B$38,$B$39)*100),0,B39/SUM($B$32,$B$34,$B$35,$B$36,$B$38,$B$39)*100)</f>
        <v>42.290669856459324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2575</v>
      </c>
      <c r="C44" s="34" t="s">
        <v>111</v>
      </c>
      <c r="D44" s="174"/>
    </row>
    <row r="45" spans="1:7">
      <c r="A45" s="171" t="s">
        <v>72</v>
      </c>
      <c r="B45" s="33" t="str">
        <f t="shared" si="0"/>
        <v>-</v>
      </c>
      <c r="C45" s="34" t="s">
        <v>111</v>
      </c>
      <c r="D45" s="174"/>
    </row>
    <row r="46" spans="1:7">
      <c r="A46" s="171" t="s">
        <v>73</v>
      </c>
      <c r="B46" s="33">
        <f t="shared" si="0"/>
        <v>246.07597402597409</v>
      </c>
      <c r="C46" s="34" t="s">
        <v>111</v>
      </c>
      <c r="D46" s="174"/>
    </row>
    <row r="47" spans="1:7">
      <c r="A47" s="171" t="s">
        <v>74</v>
      </c>
      <c r="B47" s="33">
        <f t="shared" si="0"/>
        <v>880.03441558441568</v>
      </c>
      <c r="C47" s="34" t="s">
        <v>111</v>
      </c>
      <c r="D47" s="174"/>
    </row>
    <row r="48" spans="1:7">
      <c r="A48" s="171" t="s">
        <v>75</v>
      </c>
      <c r="B48" s="33">
        <f t="shared" si="0"/>
        <v>158.48961038961042</v>
      </c>
      <c r="C48" s="33">
        <f>B48*10</f>
        <v>1584.8961038961043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2828.3999999999996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17668.074399999998</v>
      </c>
      <c r="C5" s="17">
        <f>IF(ISERROR('Eigen informatie GS &amp; warmtenet'!B58),0,'Eigen informatie GS &amp; warmtenet'!B58)</f>
        <v>0</v>
      </c>
      <c r="D5" s="30">
        <f>SUM(D6:D12)</f>
        <v>8869.7067755999997</v>
      </c>
      <c r="E5" s="17">
        <f>SUM(E6:E12)</f>
        <v>234.51401673730962</v>
      </c>
      <c r="F5" s="17">
        <f>SUM(F6:F12)</f>
        <v>3583.7853766019116</v>
      </c>
      <c r="G5" s="18"/>
      <c r="H5" s="17"/>
      <c r="I5" s="17"/>
      <c r="J5" s="17">
        <f>SUM(J6:J12)</f>
        <v>0.14368656636416327</v>
      </c>
      <c r="K5" s="17"/>
      <c r="L5" s="17"/>
      <c r="M5" s="17"/>
      <c r="N5" s="17">
        <f>SUM(N6:N12)</f>
        <v>5642.6857034113327</v>
      </c>
      <c r="O5" s="17">
        <f>B38*B39*B40</f>
        <v>4.6900000000000004</v>
      </c>
      <c r="P5" s="17">
        <f>B46*B47*B48/1000-B46*B47*B48/1000/B49</f>
        <v>19.066666666666666</v>
      </c>
      <c r="R5" s="32"/>
    </row>
    <row r="6" spans="1:18">
      <c r="A6" s="32" t="s">
        <v>54</v>
      </c>
      <c r="B6" s="37">
        <f>B26</f>
        <v>2960.9681499999997</v>
      </c>
      <c r="C6" s="33"/>
      <c r="D6" s="37">
        <f>IF(ISERROR(TER_kantoor_gas_kWh/1000),0,TER_kantoor_gas_kWh/1000)*0.902</f>
        <v>2110.3215452000004</v>
      </c>
      <c r="E6" s="33">
        <f>$C$26*'E Balans VL '!I12/100/3.6*1000000</f>
        <v>1.8558363561621626E-2</v>
      </c>
      <c r="F6" s="33">
        <f>$C$26*('E Balans VL '!L12+'E Balans VL '!N12)/100/3.6*1000000</f>
        <v>444.95077560391735</v>
      </c>
      <c r="G6" s="34"/>
      <c r="H6" s="33"/>
      <c r="I6" s="33"/>
      <c r="J6" s="33">
        <f>$C$26*('E Balans VL '!D12+'E Balans VL '!E12)/100/3.6*1000000</f>
        <v>0</v>
      </c>
      <c r="K6" s="33"/>
      <c r="L6" s="33"/>
      <c r="M6" s="33"/>
      <c r="N6" s="33">
        <f>$C$26*'E Balans VL '!Y12/100/3.6*1000000</f>
        <v>2.8317270237677881</v>
      </c>
      <c r="O6" s="33"/>
      <c r="P6" s="33"/>
      <c r="R6" s="32"/>
    </row>
    <row r="7" spans="1:18">
      <c r="A7" s="32" t="s">
        <v>53</v>
      </c>
      <c r="B7" s="37">
        <f t="shared" ref="B7:B12" si="0">B27</f>
        <v>1809.5311499999998</v>
      </c>
      <c r="C7" s="33"/>
      <c r="D7" s="37">
        <f>IF(ISERROR(TER_horeca_gas_kWh/1000),0,TER_horeca_gas_kWh/1000)*0.902</f>
        <v>1528.454334</v>
      </c>
      <c r="E7" s="33">
        <f>$C$27*'E Balans VL '!I9/100/3.6*1000000</f>
        <v>25.912184657649071</v>
      </c>
      <c r="F7" s="33">
        <f>$C$27*('E Balans VL '!L9+'E Balans VL '!N9)/100/3.6*1000000</f>
        <v>229.14632422657508</v>
      </c>
      <c r="G7" s="34"/>
      <c r="H7" s="33"/>
      <c r="I7" s="33"/>
      <c r="J7" s="33">
        <f>$C$27*('E Balans VL '!D9+'E Balans VL '!E9)/100/3.6*1000000</f>
        <v>0</v>
      </c>
      <c r="K7" s="33"/>
      <c r="L7" s="33"/>
      <c r="M7" s="33"/>
      <c r="N7" s="33">
        <f>$C$27*'E Balans VL '!Y9/100/3.6*1000000</f>
        <v>0.52020030888786495</v>
      </c>
      <c r="O7" s="33"/>
      <c r="P7" s="33"/>
      <c r="R7" s="32"/>
    </row>
    <row r="8" spans="1:18">
      <c r="A8" s="6" t="s">
        <v>52</v>
      </c>
      <c r="B8" s="37">
        <f t="shared" si="0"/>
        <v>5464.4901</v>
      </c>
      <c r="C8" s="33"/>
      <c r="D8" s="37">
        <f>IF(ISERROR(TER_handel_gas_kWh/1000),0,TER_handel_gas_kWh/1000)*0.902</f>
        <v>3422.8213844000002</v>
      </c>
      <c r="E8" s="33">
        <f>$C$28*'E Balans VL '!I13/100/3.6*1000000</f>
        <v>198.1963820762704</v>
      </c>
      <c r="F8" s="33">
        <f>$C$28*('E Balans VL '!L13+'E Balans VL '!N13)/100/3.6*1000000</f>
        <v>1052.5161247401281</v>
      </c>
      <c r="G8" s="34"/>
      <c r="H8" s="33"/>
      <c r="I8" s="33"/>
      <c r="J8" s="33">
        <f>$C$28*('E Balans VL '!D13+'E Balans VL '!E13)/100/3.6*1000000</f>
        <v>0</v>
      </c>
      <c r="K8" s="33"/>
      <c r="L8" s="33"/>
      <c r="M8" s="33"/>
      <c r="N8" s="33">
        <f>$C$28*'E Balans VL '!Y13/100/3.6*1000000</f>
        <v>7.5695761115970788</v>
      </c>
      <c r="O8" s="33"/>
      <c r="P8" s="33"/>
      <c r="R8" s="32"/>
    </row>
    <row r="9" spans="1:18">
      <c r="A9" s="32" t="s">
        <v>51</v>
      </c>
      <c r="B9" s="37">
        <f t="shared" si="0"/>
        <v>650.67999999999995</v>
      </c>
      <c r="C9" s="33"/>
      <c r="D9" s="37">
        <f>IF(ISERROR(TER_gezond_gas_kWh/1000),0,TER_gezond_gas_kWh/1000)*0.902</f>
        <v>799.27031800000009</v>
      </c>
      <c r="E9" s="33">
        <f>$C$29*'E Balans VL '!I10/100/3.6*1000000</f>
        <v>4.0738992304382306E-2</v>
      </c>
      <c r="F9" s="33">
        <f>$C$29*('E Balans VL '!L10+'E Balans VL '!N10)/100/3.6*1000000</f>
        <v>96.660495131926979</v>
      </c>
      <c r="G9" s="34"/>
      <c r="H9" s="33"/>
      <c r="I9" s="33"/>
      <c r="J9" s="33">
        <f>$C$29*('E Balans VL '!D10+'E Balans VL '!E10)/100/3.6*1000000</f>
        <v>0</v>
      </c>
      <c r="K9" s="33"/>
      <c r="L9" s="33"/>
      <c r="M9" s="33"/>
      <c r="N9" s="33">
        <f>$C$29*'E Balans VL '!Y10/100/3.6*1000000</f>
        <v>10.064781025253106</v>
      </c>
      <c r="O9" s="33"/>
      <c r="P9" s="33"/>
      <c r="R9" s="32"/>
    </row>
    <row r="10" spans="1:18">
      <c r="A10" s="32" t="s">
        <v>50</v>
      </c>
      <c r="B10" s="37">
        <f t="shared" si="0"/>
        <v>6619.6459999999997</v>
      </c>
      <c r="C10" s="33"/>
      <c r="D10" s="37">
        <f>IF(ISERROR(TER_ander_gas_kWh/1000),0,TER_ander_gas_kWh/1000)*0.902</f>
        <v>736.94392200000004</v>
      </c>
      <c r="E10" s="33">
        <f>$C$30*'E Balans VL '!I14/100/3.6*1000000</f>
        <v>7.8903814858212389</v>
      </c>
      <c r="F10" s="33">
        <f>$C$30*('E Balans VL '!L14+'E Balans VL '!N14)/100/3.6*1000000</f>
        <v>1731.9936799469851</v>
      </c>
      <c r="G10" s="34"/>
      <c r="H10" s="33"/>
      <c r="I10" s="33"/>
      <c r="J10" s="33">
        <f>$C$30*('E Balans VL '!D14+'E Balans VL '!E14)/100/3.6*1000000</f>
        <v>0.14368656636416327</v>
      </c>
      <c r="K10" s="33"/>
      <c r="L10" s="33"/>
      <c r="M10" s="33"/>
      <c r="N10" s="33">
        <f>$C$30*'E Balans VL '!Y14/100/3.6*1000000</f>
        <v>5621.2414027424165</v>
      </c>
      <c r="O10" s="33"/>
      <c r="P10" s="33"/>
      <c r="R10" s="32"/>
    </row>
    <row r="11" spans="1:18">
      <c r="A11" s="32" t="s">
        <v>55</v>
      </c>
      <c r="B11" s="37">
        <f t="shared" si="0"/>
        <v>162.75899999999999</v>
      </c>
      <c r="C11" s="33"/>
      <c r="D11" s="37">
        <f>IF(ISERROR(TER_onderwijs_gas_kWh/1000),0,TER_onderwijs_gas_kWh/1000)*0.902</f>
        <v>271.89527199999998</v>
      </c>
      <c r="E11" s="33">
        <f>$C$31*'E Balans VL '!I11/100/3.6*1000000</f>
        <v>2.4557711617028981</v>
      </c>
      <c r="F11" s="33">
        <f>$C$31*('E Balans VL '!L11+'E Balans VL '!N11)/100/3.6*1000000</f>
        <v>28.517976952378657</v>
      </c>
      <c r="G11" s="34"/>
      <c r="H11" s="33"/>
      <c r="I11" s="33"/>
      <c r="J11" s="33">
        <f>$C$31*('E Balans VL '!D11+'E Balans VL '!E11)/100/3.6*1000000</f>
        <v>0</v>
      </c>
      <c r="K11" s="33"/>
      <c r="L11" s="33"/>
      <c r="M11" s="33"/>
      <c r="N11" s="33">
        <f>$C$31*'E Balans VL '!Y11/100/3.6*1000000</f>
        <v>0.45801619941038246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17668.074399999998</v>
      </c>
      <c r="C16" s="21">
        <f t="shared" ca="1" si="1"/>
        <v>0</v>
      </c>
      <c r="D16" s="21">
        <f t="shared" ca="1" si="1"/>
        <v>8869.7067755999997</v>
      </c>
      <c r="E16" s="21">
        <f t="shared" si="1"/>
        <v>234.51401673730962</v>
      </c>
      <c r="F16" s="21">
        <f t="shared" ca="1" si="1"/>
        <v>3583.7853766019116</v>
      </c>
      <c r="G16" s="21">
        <f t="shared" si="1"/>
        <v>0</v>
      </c>
      <c r="H16" s="21">
        <f t="shared" si="1"/>
        <v>0</v>
      </c>
      <c r="I16" s="21">
        <f t="shared" si="1"/>
        <v>0</v>
      </c>
      <c r="J16" s="21">
        <f t="shared" si="1"/>
        <v>0.14368656636416327</v>
      </c>
      <c r="K16" s="21">
        <f t="shared" si="1"/>
        <v>0</v>
      </c>
      <c r="L16" s="21">
        <f t="shared" ca="1" si="1"/>
        <v>0</v>
      </c>
      <c r="M16" s="21">
        <f t="shared" si="1"/>
        <v>0</v>
      </c>
      <c r="N16" s="21">
        <f t="shared" ca="1" si="1"/>
        <v>5642.6857034113327</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0.18599309607844644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3286.1398594003394</v>
      </c>
      <c r="C20" s="23">
        <f t="shared" ref="C20:P20" ca="1" si="2">C16*C18</f>
        <v>0</v>
      </c>
      <c r="D20" s="23">
        <f t="shared" ca="1" si="2"/>
        <v>1791.6807686712</v>
      </c>
      <c r="E20" s="23">
        <f t="shared" si="2"/>
        <v>53.234681799369284</v>
      </c>
      <c r="F20" s="23">
        <f t="shared" ca="1" si="2"/>
        <v>956.87069555271046</v>
      </c>
      <c r="G20" s="23">
        <f t="shared" si="2"/>
        <v>0</v>
      </c>
      <c r="H20" s="23">
        <f t="shared" si="2"/>
        <v>0</v>
      </c>
      <c r="I20" s="23">
        <f t="shared" si="2"/>
        <v>0</v>
      </c>
      <c r="J20" s="23">
        <f t="shared" si="2"/>
        <v>5.0865044492913798E-2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2960.9681499999997</v>
      </c>
      <c r="C26" s="39">
        <f>IF(ISERROR(B26*3.6/1000000/'E Balans VL '!Z12*100),0,B26*3.6/1000000/'E Balans VL '!Z12*100)</f>
        <v>6.259017613857068E-2</v>
      </c>
      <c r="D26" s="237" t="s">
        <v>754</v>
      </c>
      <c r="F26" s="6"/>
    </row>
    <row r="27" spans="1:18">
      <c r="A27" s="231" t="s">
        <v>53</v>
      </c>
      <c r="B27" s="33">
        <f>IF(ISERROR(TER_horeca_ele_kWh/1000),0,TER_horeca_ele_kWh/1000)</f>
        <v>1809.5311499999998</v>
      </c>
      <c r="C27" s="39">
        <f>IF(ISERROR(B27*3.6/1000000/'E Balans VL '!Z9*100),0,B27*3.6/1000000/'E Balans VL '!Z9*100)</f>
        <v>0.14264466610780863</v>
      </c>
      <c r="D27" s="237" t="s">
        <v>754</v>
      </c>
      <c r="F27" s="6"/>
    </row>
    <row r="28" spans="1:18">
      <c r="A28" s="171" t="s">
        <v>52</v>
      </c>
      <c r="B28" s="33">
        <f>IF(ISERROR(TER_handel_ele_kWh/1000),0,TER_handel_ele_kWh/1000)</f>
        <v>5464.4901</v>
      </c>
      <c r="C28" s="39">
        <f>IF(ISERROR(B28*3.6/1000000/'E Balans VL '!Z13*100),0,B28*3.6/1000000/'E Balans VL '!Z13*100)</f>
        <v>0.15860158171609229</v>
      </c>
      <c r="D28" s="237" t="s">
        <v>754</v>
      </c>
      <c r="F28" s="6"/>
    </row>
    <row r="29" spans="1:18">
      <c r="A29" s="231" t="s">
        <v>51</v>
      </c>
      <c r="B29" s="33">
        <f>IF(ISERROR(TER_gezond_ele_kWh/1000),0,TER_gezond_ele_kWh/1000)</f>
        <v>650.67999999999995</v>
      </c>
      <c r="C29" s="39">
        <f>IF(ISERROR(B29*3.6/1000000/'E Balans VL '!Z10*100),0,B29*3.6/1000000/'E Balans VL '!Z10*100)</f>
        <v>6.8527288447628121E-2</v>
      </c>
      <c r="D29" s="237" t="s">
        <v>754</v>
      </c>
      <c r="F29" s="6"/>
    </row>
    <row r="30" spans="1:18">
      <c r="A30" s="231" t="s">
        <v>50</v>
      </c>
      <c r="B30" s="33">
        <f>IF(ISERROR(TER_ander_ele_kWh/1000),0,TER_ander_ele_kWh/1000)</f>
        <v>6619.6459999999997</v>
      </c>
      <c r="C30" s="39">
        <f>IF(ISERROR(B30*3.6/1000000/'E Balans VL '!Z14*100),0,B30*3.6/1000000/'E Balans VL '!Z14*100)</f>
        <v>0.48826652673995907</v>
      </c>
      <c r="D30" s="237" t="s">
        <v>754</v>
      </c>
      <c r="F30" s="6"/>
    </row>
    <row r="31" spans="1:18">
      <c r="A31" s="231" t="s">
        <v>55</v>
      </c>
      <c r="B31" s="33">
        <f>IF(ISERROR(TER_onderwijs_ele_kWh/1000),0,TER_onderwijs_ele_kWh/1000)</f>
        <v>162.75899999999999</v>
      </c>
      <c r="C31" s="39">
        <f>IF(ISERROR(B31*3.6/1000000/'E Balans VL '!Z11*100),0,B31*3.6/1000000/'E Balans VL '!Z11*100)</f>
        <v>4.0420683780557798E-2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2461.6377499999999</v>
      </c>
      <c r="C5" s="17">
        <f>IF(ISERROR('Eigen informatie GS &amp; warmtenet'!B59),0,'Eigen informatie GS &amp; warmtenet'!B59)</f>
        <v>0</v>
      </c>
      <c r="D5" s="30">
        <f>SUM(D6:D15)</f>
        <v>1271.8332143</v>
      </c>
      <c r="E5" s="17">
        <f>SUM(E6:E15)</f>
        <v>341.19196015435983</v>
      </c>
      <c r="F5" s="17">
        <f>SUM(F6:F15)</f>
        <v>1135.2311882332122</v>
      </c>
      <c r="G5" s="18"/>
      <c r="H5" s="17"/>
      <c r="I5" s="17"/>
      <c r="J5" s="17">
        <f>SUM(J6:J15)</f>
        <v>0.95827396765120121</v>
      </c>
      <c r="K5" s="17"/>
      <c r="L5" s="17"/>
      <c r="M5" s="17"/>
      <c r="N5" s="17">
        <f>SUM(N6:N15)</f>
        <v>648.57040863379154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56.19</v>
      </c>
      <c r="C8" s="33"/>
      <c r="D8" s="37">
        <f>IF( ISERROR(IND_metaal_Gas_kWH/1000),0,IND_metaal_Gas_kWH/1000)*0.902</f>
        <v>0</v>
      </c>
      <c r="E8" s="33">
        <f>C30*'E Balans VL '!I18/100/3.6*1000000</f>
        <v>0.51661278118190201</v>
      </c>
      <c r="F8" s="33">
        <f>C30*'E Balans VL '!L18/100/3.6*1000000+C30*'E Balans VL '!N18/100/3.6*1000000</f>
        <v>5.2687512455336565</v>
      </c>
      <c r="G8" s="34"/>
      <c r="H8" s="33"/>
      <c r="I8" s="33"/>
      <c r="J8" s="40">
        <f>C30*'E Balans VL '!D18/100/3.6*1000000+C30*'E Balans VL '!E18/100/3.6*1000000</f>
        <v>0</v>
      </c>
      <c r="K8" s="33"/>
      <c r="L8" s="33"/>
      <c r="M8" s="33"/>
      <c r="N8" s="33">
        <f>C30*'E Balans VL '!Y18/100/3.6*1000000</f>
        <v>0.80164320788534293</v>
      </c>
      <c r="O8" s="33"/>
      <c r="P8" s="33"/>
      <c r="R8" s="32"/>
    </row>
    <row r="9" spans="1:18">
      <c r="A9" s="6" t="s">
        <v>33</v>
      </c>
      <c r="B9" s="37">
        <f t="shared" si="0"/>
        <v>1102.80575</v>
      </c>
      <c r="C9" s="33"/>
      <c r="D9" s="37">
        <f>IF( ISERROR(IND_andere_gas_kWh/1000),0,IND_andere_gas_kWh/1000)*0.902</f>
        <v>950.41002429999992</v>
      </c>
      <c r="E9" s="33">
        <f>C31*'E Balans VL '!I19/100/3.6*1000000</f>
        <v>322.37158982068723</v>
      </c>
      <c r="F9" s="33">
        <f>C31*'E Balans VL '!L19/100/3.6*1000000+C31*'E Balans VL '!N19/100/3.6*1000000</f>
        <v>886.18789485012269</v>
      </c>
      <c r="G9" s="34"/>
      <c r="H9" s="33"/>
      <c r="I9" s="33"/>
      <c r="J9" s="40">
        <f>C31*'E Balans VL '!D19/100/3.6*1000000+C31*'E Balans VL '!E19/100/3.6*1000000</f>
        <v>0</v>
      </c>
      <c r="K9" s="33"/>
      <c r="L9" s="33"/>
      <c r="M9" s="33"/>
      <c r="N9" s="33">
        <f>C31*'E Balans VL '!Y19/100/3.6*1000000</f>
        <v>364.3841231045572</v>
      </c>
      <c r="O9" s="33"/>
      <c r="P9" s="33"/>
      <c r="R9" s="32"/>
    </row>
    <row r="10" spans="1:18">
      <c r="A10" s="6" t="s">
        <v>41</v>
      </c>
      <c r="B10" s="37">
        <f t="shared" si="0"/>
        <v>685.47199999999998</v>
      </c>
      <c r="C10" s="33"/>
      <c r="D10" s="37">
        <f>IF( ISERROR(IND_voed_gas_kWh/1000),0,IND_voed_gas_kWh/1000)*0.902</f>
        <v>321.42319000000003</v>
      </c>
      <c r="E10" s="33">
        <f>C32*'E Balans VL '!I20/100/3.6*1000000</f>
        <v>1.4501266443692409</v>
      </c>
      <c r="F10" s="33">
        <f>C32*'E Balans VL '!L20/100/3.6*1000000+C32*'E Balans VL '!N20/100/3.6*1000000</f>
        <v>43.583009949115272</v>
      </c>
      <c r="G10" s="34"/>
      <c r="H10" s="33"/>
      <c r="I10" s="33"/>
      <c r="J10" s="40">
        <f>C32*'E Balans VL '!D20/100/3.6*1000000+C32*'E Balans VL '!E20/100/3.6*1000000</f>
        <v>0</v>
      </c>
      <c r="K10" s="33"/>
      <c r="L10" s="33"/>
      <c r="M10" s="33"/>
      <c r="N10" s="33">
        <f>C32*'E Balans VL '!Y20/100/3.6*1000000</f>
        <v>47.304332402981352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579.60400000000004</v>
      </c>
      <c r="C12" s="33"/>
      <c r="D12" s="37">
        <f>IF( ISERROR(IND_min_gas_kWh/1000),0,IND_min_gas_kWh/1000)*0.902</f>
        <v>0</v>
      </c>
      <c r="E12" s="33">
        <f>C34*'E Balans VL '!I22/100/3.6*1000000</f>
        <v>16.800333345399</v>
      </c>
      <c r="F12" s="33">
        <f>C34*'E Balans VL '!L22/100/3.6*1000000+C34*'E Balans VL '!N22/100/3.6*1000000</f>
        <v>199.2744048711732</v>
      </c>
      <c r="G12" s="34"/>
      <c r="H12" s="33"/>
      <c r="I12" s="33"/>
      <c r="J12" s="40">
        <f>C34*'E Balans VL '!D22/100/3.6*1000000+C34*'E Balans VL '!E22/100/3.6*1000000</f>
        <v>0.95246403306010108</v>
      </c>
      <c r="K12" s="33"/>
      <c r="L12" s="33"/>
      <c r="M12" s="33"/>
      <c r="N12" s="33">
        <f>C34*'E Balans VL '!Y22/100/3.6*1000000</f>
        <v>126.88484040136174</v>
      </c>
      <c r="O12" s="33"/>
      <c r="P12" s="33"/>
      <c r="R12" s="32"/>
    </row>
    <row r="13" spans="1:18">
      <c r="A13" s="6" t="s">
        <v>39</v>
      </c>
      <c r="B13" s="37">
        <f t="shared" si="0"/>
        <v>37.566000000000003</v>
      </c>
      <c r="C13" s="33"/>
      <c r="D13" s="37">
        <f>IF( ISERROR(IND_papier_gas_kWh/1000),0,IND_papier_gas_kWh/1000)*0.902</f>
        <v>0</v>
      </c>
      <c r="E13" s="33">
        <f>C35*'E Balans VL '!I23/100/3.6*1000000</f>
        <v>5.3297562722493919E-2</v>
      </c>
      <c r="F13" s="33">
        <f>C35*'E Balans VL '!L23/100/3.6*1000000+C35*'E Balans VL '!N23/100/3.6*1000000</f>
        <v>0.91712731726747898</v>
      </c>
      <c r="G13" s="34"/>
      <c r="H13" s="33"/>
      <c r="I13" s="33"/>
      <c r="J13" s="40">
        <f>C35*'E Balans VL '!D23/100/3.6*1000000+C35*'E Balans VL '!E23/100/3.6*1000000</f>
        <v>5.8099345911000978E-3</v>
      </c>
      <c r="K13" s="33"/>
      <c r="L13" s="33"/>
      <c r="M13" s="33"/>
      <c r="N13" s="33">
        <f>C35*'E Balans VL '!Y23/100/3.6*1000000</f>
        <v>109.19546951700592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2461.6377499999999</v>
      </c>
      <c r="C18" s="21">
        <f>C5+C16</f>
        <v>0</v>
      </c>
      <c r="D18" s="21">
        <f>MAX((D5+D16),0)</f>
        <v>1271.8332143</v>
      </c>
      <c r="E18" s="21">
        <f>MAX((E5+E16),0)</f>
        <v>341.19196015435983</v>
      </c>
      <c r="F18" s="21">
        <f>MAX((F5+F16),0)</f>
        <v>1135.2311882332122</v>
      </c>
      <c r="G18" s="21"/>
      <c r="H18" s="21"/>
      <c r="I18" s="21"/>
      <c r="J18" s="21">
        <f>MAX((J5+J16),0)</f>
        <v>0.95827396765120121</v>
      </c>
      <c r="K18" s="21"/>
      <c r="L18" s="21">
        <f>MAX((L5+L16),0)</f>
        <v>0</v>
      </c>
      <c r="M18" s="21"/>
      <c r="N18" s="21">
        <f>MAX((N5+N16),0)</f>
        <v>648.57040863379154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0.18599309607844644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457.84762654608068</v>
      </c>
      <c r="C22" s="23">
        <f ca="1">C18*C20</f>
        <v>0</v>
      </c>
      <c r="D22" s="23">
        <f>D18*D20</f>
        <v>256.91030928859999</v>
      </c>
      <c r="E22" s="23">
        <f>E18*E20</f>
        <v>77.450574955039684</v>
      </c>
      <c r="F22" s="23">
        <f>F18*F20</f>
        <v>303.10672725826765</v>
      </c>
      <c r="G22" s="23"/>
      <c r="H22" s="23"/>
      <c r="I22" s="23"/>
      <c r="J22" s="23">
        <f>J18*J20</f>
        <v>0.33922898454852524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56.19</v>
      </c>
      <c r="C30" s="39">
        <f>IF(ISERROR(B30*3.6/1000000/'E Balans VL '!Z18*100),0,B30*3.6/1000000/'E Balans VL '!Z18*100)</f>
        <v>3.1844313805835674E-3</v>
      </c>
      <c r="D30" s="237" t="s">
        <v>754</v>
      </c>
    </row>
    <row r="31" spans="1:18">
      <c r="A31" s="6" t="s">
        <v>33</v>
      </c>
      <c r="B31" s="37">
        <f>IF( ISERROR(IND_ander_ele_kWh/1000),0,IND_ander_ele_kWh/1000)</f>
        <v>1102.80575</v>
      </c>
      <c r="C31" s="39">
        <f>IF(ISERROR(B31*3.6/1000000/'E Balans VL '!Z19*100),0,B31*3.6/1000000/'E Balans VL '!Z19*100)</f>
        <v>5.0018676816779406E-2</v>
      </c>
      <c r="D31" s="237" t="s">
        <v>754</v>
      </c>
    </row>
    <row r="32" spans="1:18">
      <c r="A32" s="171" t="s">
        <v>41</v>
      </c>
      <c r="B32" s="37">
        <f>IF( ISERROR(IND_voed_ele_kWh/1000),0,IND_voed_ele_kWh/1000)</f>
        <v>685.47199999999998</v>
      </c>
      <c r="C32" s="39">
        <f>IF(ISERROR(B32*3.6/1000000/'E Balans VL '!Z20*100),0,B32*3.6/1000000/'E Balans VL '!Z20*100)</f>
        <v>2.1204760740135307E-2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579.60400000000004</v>
      </c>
      <c r="C34" s="39">
        <f>IF(ISERROR(B34*3.6/1000000/'E Balans VL '!Z22*100),0,B34*3.6/1000000/'E Balans VL '!Z22*100)</f>
        <v>0.10425267616346544</v>
      </c>
      <c r="D34" s="237" t="s">
        <v>754</v>
      </c>
    </row>
    <row r="35" spans="1:5">
      <c r="A35" s="171" t="s">
        <v>39</v>
      </c>
      <c r="B35" s="37">
        <f>IF( ISERROR(IND_papier_ele_kWh/1000),0,IND_papier_ele_kWh/1000)</f>
        <v>37.566000000000003</v>
      </c>
      <c r="C35" s="39">
        <f>IF(ISERROR(B35*3.6/1000000/'E Balans VL '!Z22*100),0,B35*3.6/1000000/'E Balans VL '!Z22*100)</f>
        <v>6.7569513542983517E-3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2433.8820000000001</v>
      </c>
      <c r="C5" s="17">
        <f>'Eigen informatie GS &amp; warmtenet'!B60</f>
        <v>0</v>
      </c>
      <c r="D5" s="30">
        <f>IF(ISERROR(SUM(LB_lb_gas_kWh,LB_rest_gas_kWh,onbekend_gas_kWh)/1000),0,SUM(LB_lb_gas_kWh,LB_rest_gas_kWh,onbekend_gas_kWh)/1000)*0.902</f>
        <v>3892.3807560000005</v>
      </c>
      <c r="E5" s="17">
        <f>B17*'E Balans VL '!I25/3.6*1000000/100</f>
        <v>71.53922591366377</v>
      </c>
      <c r="F5" s="17">
        <f>B17*('E Balans VL '!L25/3.6*1000000+'E Balans VL '!N25/3.6*1000000)/100</f>
        <v>10139.420891919903</v>
      </c>
      <c r="G5" s="18"/>
      <c r="H5" s="17"/>
      <c r="I5" s="17"/>
      <c r="J5" s="17">
        <f>('E Balans VL '!D25+'E Balans VL '!E25)/3.6*1000000*landbouw!B17/100</f>
        <v>352.6172335857417</v>
      </c>
      <c r="K5" s="17"/>
      <c r="L5" s="17">
        <f>L6*(-1)</f>
        <v>0</v>
      </c>
      <c r="M5" s="17"/>
      <c r="N5" s="17">
        <f>N6*(-1)</f>
        <v>154.28571428571431</v>
      </c>
      <c r="O5" s="17"/>
      <c r="P5" s="17"/>
      <c r="R5" s="32"/>
    </row>
    <row r="6" spans="1:18">
      <c r="A6" s="16" t="s">
        <v>488</v>
      </c>
      <c r="B6" s="17" t="s">
        <v>211</v>
      </c>
      <c r="C6" s="17">
        <f>'lokale energieproductie'!O91+'lokale energieproductie'!O60</f>
        <v>77.142857142857139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2433.8820000000001</v>
      </c>
      <c r="C8" s="21">
        <f>C5+C6</f>
        <v>77.142857142857139</v>
      </c>
      <c r="D8" s="21">
        <f>MAX((D5+D6),0)</f>
        <v>3892.3807560000005</v>
      </c>
      <c r="E8" s="21">
        <f>MAX((E5+E6),0)</f>
        <v>71.53922591366377</v>
      </c>
      <c r="F8" s="21">
        <f>MAX((F5+F6),0)</f>
        <v>10139.420891919903</v>
      </c>
      <c r="G8" s="21"/>
      <c r="H8" s="21"/>
      <c r="I8" s="21"/>
      <c r="J8" s="21">
        <f>MAX((J5+J6),0)</f>
        <v>352.6172335857417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0.18599309607844644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452.68524866960138</v>
      </c>
      <c r="C12" s="23">
        <f ca="1">C8*C10</f>
        <v>0</v>
      </c>
      <c r="D12" s="23">
        <f>D8*D10</f>
        <v>786.26091271200016</v>
      </c>
      <c r="E12" s="23">
        <f>E8*E10</f>
        <v>16.239404282401676</v>
      </c>
      <c r="F12" s="23">
        <f>F8*F10</f>
        <v>2707.2253781426143</v>
      </c>
      <c r="G12" s="23"/>
      <c r="H12" s="23"/>
      <c r="I12" s="23"/>
      <c r="J12" s="23">
        <f>J8*J10</f>
        <v>124.82650068935256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0.34537549187189859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261.76661081691196</v>
      </c>
      <c r="C26" s="247">
        <f>B26*'GWP N2O_CH4'!B5</f>
        <v>5497.0988271551514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145.29229221375965</v>
      </c>
      <c r="C27" s="247">
        <f>B27*'GWP N2O_CH4'!B5</f>
        <v>3051.1381364889526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3.945795949327378</v>
      </c>
      <c r="C28" s="247">
        <f>B28*'GWP N2O_CH4'!B4</f>
        <v>1223.1967442914872</v>
      </c>
      <c r="D28" s="50"/>
    </row>
    <row r="29" spans="1:4">
      <c r="A29" s="41" t="s">
        <v>277</v>
      </c>
      <c r="B29" s="247">
        <f>B34*'ha_N2O bodem landbouw'!B4</f>
        <v>27.947230261830939</v>
      </c>
      <c r="C29" s="247">
        <f>B29*'GWP N2O_CH4'!B4</f>
        <v>8663.6413811675902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6.3774616353097675E-3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1.9836864631139542E-4</v>
      </c>
      <c r="C5" s="463" t="s">
        <v>211</v>
      </c>
      <c r="D5" s="448">
        <f>SUM(D6:D11)</f>
        <v>6.9169482989108453E-4</v>
      </c>
      <c r="E5" s="448">
        <f>SUM(E6:E11)</f>
        <v>9.8244622451534652E-4</v>
      </c>
      <c r="F5" s="461" t="s">
        <v>211</v>
      </c>
      <c r="G5" s="448">
        <f>SUM(G6:G11)</f>
        <v>0.37053859169064635</v>
      </c>
      <c r="H5" s="448">
        <f>SUM(H6:H11)</f>
        <v>7.8867652241327482E-2</v>
      </c>
      <c r="I5" s="463" t="s">
        <v>211</v>
      </c>
      <c r="J5" s="463" t="s">
        <v>211</v>
      </c>
      <c r="K5" s="463" t="s">
        <v>211</v>
      </c>
      <c r="L5" s="463" t="s">
        <v>211</v>
      </c>
      <c r="M5" s="448">
        <f>SUM(M6:M11)</f>
        <v>2.398971338210204E-2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1.0501046634909256E-4</v>
      </c>
      <c r="C6" s="449"/>
      <c r="D6" s="962">
        <f>vkm_2011_GW_PW*SUMIFS(TableVerdeelsleutelVkm[CNG],TableVerdeelsleutelVkm[Voertuigtype],"Lichte voertuigen")*SUMIFS(TableECFTransport[EnergieConsumptieFactor (PJ per km)],TableECFTransport[Index],CONCATENATE($A6,"_CNG_CNG"))</f>
        <v>3.1497112852185981E-4</v>
      </c>
      <c r="E6" s="962">
        <f>vkm_2011_GW_PW*SUMIFS(TableVerdeelsleutelVkm[LPG],TableVerdeelsleutelVkm[Voertuigtype],"Lichte voertuigen")*SUMIFS(TableECFTransport[EnergieConsumptieFactor (PJ per km)],TableECFTransport[Index],CONCATENATE($A6,"_LPG_LPG"))</f>
        <v>4.3029580493377721E-4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0.11125477008959611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3.5818075739417504E-2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7.563082739899047E-3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4.1775814185986394E-2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1.2730192294568611E-5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2.4412398644126183E-3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3.8173696968201674E-5</v>
      </c>
      <c r="C8" s="449"/>
      <c r="D8" s="451">
        <f>vkm_2011_NGW_PW*SUMIFS(TableVerdeelsleutelVkm[CNG],TableVerdeelsleutelVkm[Voertuigtype],"Lichte voertuigen")*SUMIFS(TableECFTransport[EnergieConsumptieFactor (PJ per km)],TableECFTransport[Index],CONCATENATE($A8,"_CNG_CNG"))</f>
        <v>2.0358082682653806E-4</v>
      </c>
      <c r="E8" s="451">
        <f>vkm_2011_NGW_PW*SUMIFS(TableVerdeelsleutelVkm[LPG],TableVerdeelsleutelVkm[Voertuigtype],"Lichte voertuigen")*SUMIFS(TableECFTransport[EnergieConsumptieFactor (PJ per km)],TableECFTransport[Index],CONCATENATE($A8,"_LPG_LPG"))</f>
        <v>2.5757128352812026E-4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6.2060543612388538E-2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2.2497629933659963E-2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4.2935600516159625E-3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6.2553855996356274E-4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1.7945046122828291E-7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3.6554064997204697E-5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5.5184482994101181E-5</v>
      </c>
      <c r="C10" s="449"/>
      <c r="D10" s="451">
        <f>vkm_2011_SW_PW*SUMIFS(TableVerdeelsleutelVkm[CNG],TableVerdeelsleutelVkm[Voertuigtype],"Lichte voertuigen")*SUMIFS(TableECFTransport[EnergieConsumptieFactor (PJ per km)],TableECFTransport[Index],CONCATENATE($A10,"_CNG_CNG"))</f>
        <v>1.7314287454268663E-4</v>
      </c>
      <c r="E10" s="451">
        <f>vkm_2011_SW_PW*SUMIFS(TableVerdeelsleutelVkm[LPG],TableVerdeelsleutelVkm[Voertuigtype],"Lichte voertuigen")*SUMIFS(TableECFTransport[EnergieConsumptieFactor (PJ per km)],TableECFTransport[Index],CONCATENATE($A10,"_LPG_LPG"))</f>
        <v>2.9457913605344911E-4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6.7901158287557842E-2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2.0510433824612019E-2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4.575852877134726E-3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8.6920766955153925E-2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2.8603100882198927E-5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5.0794237840424807E-3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55.102401753165395</v>
      </c>
      <c r="C14" s="21"/>
      <c r="D14" s="21">
        <f t="shared" ref="D14:M14" si="0">((D5)*10^9/3600)+D12</f>
        <v>192.1374527475235</v>
      </c>
      <c r="E14" s="21">
        <f t="shared" si="0"/>
        <v>272.90172903204069</v>
      </c>
      <c r="F14" s="21"/>
      <c r="G14" s="21">
        <f t="shared" si="0"/>
        <v>102927.3865807351</v>
      </c>
      <c r="H14" s="21">
        <f t="shared" si="0"/>
        <v>21907.681178146522</v>
      </c>
      <c r="I14" s="21"/>
      <c r="J14" s="21"/>
      <c r="K14" s="21"/>
      <c r="L14" s="21"/>
      <c r="M14" s="21">
        <f t="shared" si="0"/>
        <v>6663.809272806122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0.18599309607844644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10.248666303429648</v>
      </c>
      <c r="C18" s="23"/>
      <c r="D18" s="23">
        <f t="shared" ref="D18:M18" si="1">D14*D16</f>
        <v>38.811765454999751</v>
      </c>
      <c r="E18" s="23">
        <f t="shared" si="1"/>
        <v>61.948692490273238</v>
      </c>
      <c r="F18" s="23"/>
      <c r="G18" s="23">
        <f t="shared" si="1"/>
        <v>27481.61221705627</v>
      </c>
      <c r="H18" s="23">
        <f t="shared" si="1"/>
        <v>5455.0126133584836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5.808072280709271E-3</v>
      </c>
      <c r="H50" s="321">
        <f t="shared" si="2"/>
        <v>0</v>
      </c>
      <c r="I50" s="321">
        <f t="shared" si="2"/>
        <v>0</v>
      </c>
      <c r="J50" s="321">
        <f t="shared" si="2"/>
        <v>0</v>
      </c>
      <c r="K50" s="321">
        <f t="shared" si="2"/>
        <v>0</v>
      </c>
      <c r="L50" s="321">
        <f t="shared" si="2"/>
        <v>0</v>
      </c>
      <c r="M50" s="321">
        <f t="shared" si="2"/>
        <v>3.2987286536555633E-4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5.808072280709271E-3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3.2987286536555633E-4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1613.3534113081309</v>
      </c>
      <c r="H54" s="21">
        <f t="shared" si="3"/>
        <v>0</v>
      </c>
      <c r="I54" s="21">
        <f t="shared" si="3"/>
        <v>0</v>
      </c>
      <c r="J54" s="21">
        <f t="shared" si="3"/>
        <v>0</v>
      </c>
      <c r="K54" s="21">
        <f t="shared" si="3"/>
        <v>0</v>
      </c>
      <c r="L54" s="21">
        <f t="shared" si="3"/>
        <v>0</v>
      </c>
      <c r="M54" s="21">
        <f t="shared" si="3"/>
        <v>91.631351490432309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0.18599309607844644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430.765360819271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8221.7155055715575</v>
      </c>
      <c r="C6" s="1204"/>
      <c r="D6" s="1189"/>
      <c r="E6" s="1189"/>
      <c r="F6" s="1207"/>
      <c r="G6" s="1210"/>
      <c r="H6" s="1201"/>
      <c r="I6" s="1189"/>
      <c r="J6" s="1189"/>
      <c r="K6" s="1189"/>
      <c r="L6" s="1193"/>
      <c r="M6" s="575"/>
      <c r="N6" s="1167"/>
      <c r="O6" s="1168"/>
      <c r="Q6" s="573"/>
      <c r="R6" s="1155"/>
      <c r="S6" s="1155"/>
    </row>
    <row r="7" spans="1:19" s="563" customFormat="1">
      <c r="A7" s="576" t="s">
        <v>252</v>
      </c>
      <c r="B7" s="577">
        <f>N57</f>
        <v>54</v>
      </c>
      <c r="C7" s="578">
        <f>B100</f>
        <v>0</v>
      </c>
      <c r="D7" s="579"/>
      <c r="E7" s="579">
        <f>E100</f>
        <v>0</v>
      </c>
      <c r="F7" s="580"/>
      <c r="G7" s="581"/>
      <c r="H7" s="579">
        <f>I100</f>
        <v>0</v>
      </c>
      <c r="I7" s="579">
        <f>G100+F100</f>
        <v>0</v>
      </c>
      <c r="J7" s="579">
        <f>H100+D100+C100</f>
        <v>63.529411764705898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8275.7155055715575</v>
      </c>
      <c r="C9" s="594">
        <f t="shared" ref="C9:L9" si="0">SUM(C7:C8)</f>
        <v>0</v>
      </c>
      <c r="D9" s="594">
        <f t="shared" si="0"/>
        <v>0</v>
      </c>
      <c r="E9" s="594">
        <f t="shared" si="0"/>
        <v>0</v>
      </c>
      <c r="F9" s="594">
        <f t="shared" si="0"/>
        <v>0</v>
      </c>
      <c r="G9" s="594">
        <f t="shared" si="0"/>
        <v>0</v>
      </c>
      <c r="H9" s="594">
        <f t="shared" si="0"/>
        <v>0</v>
      </c>
      <c r="I9" s="594">
        <f t="shared" si="0"/>
        <v>0</v>
      </c>
      <c r="J9" s="594">
        <f t="shared" si="0"/>
        <v>63.529411764705898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77.142857142857139</v>
      </c>
      <c r="C16" s="610">
        <f>B101</f>
        <v>0</v>
      </c>
      <c r="D16" s="611"/>
      <c r="E16" s="611">
        <f>E101</f>
        <v>0</v>
      </c>
      <c r="F16" s="612"/>
      <c r="G16" s="613"/>
      <c r="H16" s="610">
        <f>I101</f>
        <v>0</v>
      </c>
      <c r="I16" s="611">
        <f>G101+F101</f>
        <v>0</v>
      </c>
      <c r="J16" s="611">
        <f>H101+D101+C101</f>
        <v>90.756302521008422</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77.142857142857139</v>
      </c>
      <c r="C19" s="593">
        <f>SUM(C16:C18)</f>
        <v>0</v>
      </c>
      <c r="D19" s="593">
        <f t="shared" ref="D19:M19" si="1">SUM(D16:D18)</f>
        <v>0</v>
      </c>
      <c r="E19" s="593">
        <f t="shared" si="1"/>
        <v>0</v>
      </c>
      <c r="F19" s="593">
        <f t="shared" si="1"/>
        <v>0</v>
      </c>
      <c r="G19" s="593">
        <f t="shared" si="1"/>
        <v>0</v>
      </c>
      <c r="H19" s="593">
        <f t="shared" si="1"/>
        <v>0</v>
      </c>
      <c r="I19" s="593">
        <f t="shared" si="1"/>
        <v>0</v>
      </c>
      <c r="J19" s="593">
        <f t="shared" si="1"/>
        <v>90.756302521008422</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73066</v>
      </c>
      <c r="C27" s="851">
        <v>3770</v>
      </c>
      <c r="D27" s="672" t="s">
        <v>809</v>
      </c>
      <c r="E27" s="671" t="s">
        <v>810</v>
      </c>
      <c r="F27" s="671" t="s">
        <v>811</v>
      </c>
      <c r="G27" s="671" t="s">
        <v>812</v>
      </c>
      <c r="H27" s="671" t="s">
        <v>813</v>
      </c>
      <c r="I27" s="671" t="s">
        <v>810</v>
      </c>
      <c r="J27" s="850">
        <v>40624</v>
      </c>
      <c r="K27" s="850">
        <v>41306</v>
      </c>
      <c r="L27" s="671" t="s">
        <v>814</v>
      </c>
      <c r="M27" s="671">
        <v>12</v>
      </c>
      <c r="N27" s="671">
        <v>54</v>
      </c>
      <c r="O27" s="671">
        <v>77.142857142857139</v>
      </c>
      <c r="P27" s="671">
        <v>0</v>
      </c>
      <c r="Q27" s="671">
        <v>0</v>
      </c>
      <c r="R27" s="671">
        <v>0</v>
      </c>
      <c r="S27" s="671">
        <v>0</v>
      </c>
      <c r="T27" s="671">
        <v>0</v>
      </c>
      <c r="U27" s="671">
        <v>0</v>
      </c>
      <c r="V27" s="671">
        <v>154.28571428571431</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v>
      </c>
      <c r="N57" s="629">
        <f>SUM(N27:N56)</f>
        <v>54</v>
      </c>
      <c r="O57" s="629">
        <f t="shared" ref="O57:W57" si="2">SUM(O27:O56)</f>
        <v>77.142857142857139</v>
      </c>
      <c r="P57" s="629">
        <f t="shared" si="2"/>
        <v>0</v>
      </c>
      <c r="Q57" s="629">
        <f t="shared" si="2"/>
        <v>0</v>
      </c>
      <c r="R57" s="629">
        <f t="shared" si="2"/>
        <v>0</v>
      </c>
      <c r="S57" s="629">
        <f t="shared" si="2"/>
        <v>0</v>
      </c>
      <c r="T57" s="629">
        <f t="shared" si="2"/>
        <v>0</v>
      </c>
      <c r="U57" s="629">
        <f t="shared" si="2"/>
        <v>0</v>
      </c>
      <c r="V57" s="629">
        <f t="shared" si="2"/>
        <v>154.28571428571431</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v>
      </c>
      <c r="N60" s="634">
        <f t="shared" ref="N60:W60" si="4">SUMIF($Z$27:$Z$56,"landbouw",N27:N56)</f>
        <v>54</v>
      </c>
      <c r="O60" s="634">
        <f t="shared" si="4"/>
        <v>77.142857142857139</v>
      </c>
      <c r="P60" s="634">
        <f t="shared" si="4"/>
        <v>0</v>
      </c>
      <c r="Q60" s="634">
        <f t="shared" si="4"/>
        <v>0</v>
      </c>
      <c r="R60" s="634">
        <f t="shared" si="4"/>
        <v>0</v>
      </c>
      <c r="S60" s="634">
        <f t="shared" si="4"/>
        <v>0</v>
      </c>
      <c r="T60" s="634">
        <f t="shared" si="4"/>
        <v>0</v>
      </c>
      <c r="U60" s="634">
        <f t="shared" si="4"/>
        <v>0</v>
      </c>
      <c r="V60" s="634">
        <f t="shared" si="4"/>
        <v>154.28571428571431</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63.529411764705898</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90.756302521008422</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18566.666399999998</v>
      </c>
      <c r="D10" s="718">
        <f ca="1">tertiair!C16</f>
        <v>0</v>
      </c>
      <c r="E10" s="718">
        <f ca="1">tertiair!D16</f>
        <v>8869.7067755999997</v>
      </c>
      <c r="F10" s="718">
        <f>tertiair!E16</f>
        <v>234.51401673730962</v>
      </c>
      <c r="G10" s="718">
        <f ca="1">tertiair!F16</f>
        <v>3583.7853766019116</v>
      </c>
      <c r="H10" s="718">
        <f>tertiair!G16</f>
        <v>0</v>
      </c>
      <c r="I10" s="718">
        <f>tertiair!H16</f>
        <v>0</v>
      </c>
      <c r="J10" s="718">
        <f>tertiair!I16</f>
        <v>0</v>
      </c>
      <c r="K10" s="718">
        <f>tertiair!J16</f>
        <v>0.14368656636416327</v>
      </c>
      <c r="L10" s="718">
        <f>tertiair!K16</f>
        <v>0</v>
      </c>
      <c r="M10" s="718">
        <f ca="1">tertiair!L16</f>
        <v>0</v>
      </c>
      <c r="N10" s="718">
        <f>tertiair!M16</f>
        <v>0</v>
      </c>
      <c r="O10" s="718">
        <f ca="1">tertiair!N16</f>
        <v>5642.6857034113327</v>
      </c>
      <c r="P10" s="718">
        <f>tertiair!O16</f>
        <v>4.6900000000000004</v>
      </c>
      <c r="Q10" s="719">
        <f>tertiair!P16</f>
        <v>19.066666666666666</v>
      </c>
      <c r="R10" s="721">
        <f ca="1">SUM(C10:Q10)</f>
        <v>36921.258625583585</v>
      </c>
      <c r="S10" s="67"/>
    </row>
    <row r="11" spans="1:19" s="474" customFormat="1">
      <c r="A11" s="870" t="s">
        <v>225</v>
      </c>
      <c r="B11" s="875"/>
      <c r="C11" s="718">
        <f>huishoudens!B8</f>
        <v>28727.638072713326</v>
      </c>
      <c r="D11" s="718">
        <f>huishoudens!C8</f>
        <v>0</v>
      </c>
      <c r="E11" s="718">
        <f>huishoudens!D8</f>
        <v>39632.143379400011</v>
      </c>
      <c r="F11" s="718">
        <f>huishoudens!E8</f>
        <v>5210.2734910862346</v>
      </c>
      <c r="G11" s="718">
        <f>huishoudens!F8</f>
        <v>73222.429936800894</v>
      </c>
      <c r="H11" s="718">
        <f>huishoudens!G8</f>
        <v>0</v>
      </c>
      <c r="I11" s="718">
        <f>huishoudens!H8</f>
        <v>0</v>
      </c>
      <c r="J11" s="718">
        <f>huishoudens!I8</f>
        <v>0</v>
      </c>
      <c r="K11" s="718">
        <f>huishoudens!J8</f>
        <v>0</v>
      </c>
      <c r="L11" s="718">
        <f>huishoudens!K8</f>
        <v>0</v>
      </c>
      <c r="M11" s="718">
        <f>huishoudens!L8</f>
        <v>0</v>
      </c>
      <c r="N11" s="718">
        <f>huishoudens!M8</f>
        <v>0</v>
      </c>
      <c r="O11" s="718">
        <f>huishoudens!N8</f>
        <v>11436.279829844598</v>
      </c>
      <c r="P11" s="718">
        <f>huishoudens!O8</f>
        <v>356.44</v>
      </c>
      <c r="Q11" s="719">
        <f>huishoudens!P8</f>
        <v>1105.8666666666668</v>
      </c>
      <c r="R11" s="721">
        <f>SUM(C11:Q11)</f>
        <v>159691.07137651174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2461.6377499999999</v>
      </c>
      <c r="D13" s="718">
        <f>industrie!C18</f>
        <v>0</v>
      </c>
      <c r="E13" s="718">
        <f>industrie!D18</f>
        <v>1271.8332143</v>
      </c>
      <c r="F13" s="718">
        <f>industrie!E18</f>
        <v>341.19196015435983</v>
      </c>
      <c r="G13" s="718">
        <f>industrie!F18</f>
        <v>1135.2311882332122</v>
      </c>
      <c r="H13" s="718">
        <f>industrie!G18</f>
        <v>0</v>
      </c>
      <c r="I13" s="718">
        <f>industrie!H18</f>
        <v>0</v>
      </c>
      <c r="J13" s="718">
        <f>industrie!I18</f>
        <v>0</v>
      </c>
      <c r="K13" s="718">
        <f>industrie!J18</f>
        <v>0.95827396765120121</v>
      </c>
      <c r="L13" s="718">
        <f>industrie!K18</f>
        <v>0</v>
      </c>
      <c r="M13" s="718">
        <f>industrie!L18</f>
        <v>0</v>
      </c>
      <c r="N13" s="718">
        <f>industrie!M18</f>
        <v>0</v>
      </c>
      <c r="O13" s="718">
        <f>industrie!N18</f>
        <v>648.57040863379154</v>
      </c>
      <c r="P13" s="718">
        <f>industrie!O18</f>
        <v>0</v>
      </c>
      <c r="Q13" s="719">
        <f>industrie!P18</f>
        <v>0</v>
      </c>
      <c r="R13" s="721">
        <f>SUM(C13:Q13)</f>
        <v>5859.4227952890151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49755.942222713325</v>
      </c>
      <c r="D15" s="723">
        <f t="shared" ref="D15:Q15" ca="1" si="0">SUM(D9:D14)</f>
        <v>0</v>
      </c>
      <c r="E15" s="723">
        <f t="shared" ca="1" si="0"/>
        <v>49773.683369300008</v>
      </c>
      <c r="F15" s="723">
        <f t="shared" si="0"/>
        <v>5785.9794679779034</v>
      </c>
      <c r="G15" s="723">
        <f t="shared" ca="1" si="0"/>
        <v>77941.446501636019</v>
      </c>
      <c r="H15" s="723">
        <f t="shared" si="0"/>
        <v>0</v>
      </c>
      <c r="I15" s="723">
        <f t="shared" si="0"/>
        <v>0</v>
      </c>
      <c r="J15" s="723">
        <f t="shared" si="0"/>
        <v>0</v>
      </c>
      <c r="K15" s="723">
        <f t="shared" si="0"/>
        <v>1.1019605340153644</v>
      </c>
      <c r="L15" s="723">
        <f t="shared" si="0"/>
        <v>0</v>
      </c>
      <c r="M15" s="723">
        <f t="shared" ca="1" si="0"/>
        <v>0</v>
      </c>
      <c r="N15" s="723">
        <f t="shared" si="0"/>
        <v>0</v>
      </c>
      <c r="O15" s="723">
        <f t="shared" ca="1" si="0"/>
        <v>17727.535941889721</v>
      </c>
      <c r="P15" s="723">
        <f t="shared" si="0"/>
        <v>361.13</v>
      </c>
      <c r="Q15" s="724">
        <f t="shared" si="0"/>
        <v>1124.9333333333334</v>
      </c>
      <c r="R15" s="725">
        <f ca="1">SUM(R9:R14)</f>
        <v>202471.75279738434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1613.3534113081309</v>
      </c>
      <c r="I18" s="718">
        <f>transport!H54</f>
        <v>0</v>
      </c>
      <c r="J18" s="718">
        <f>transport!I54</f>
        <v>0</v>
      </c>
      <c r="K18" s="718">
        <f>transport!J54</f>
        <v>0</v>
      </c>
      <c r="L18" s="718">
        <f>transport!K54</f>
        <v>0</v>
      </c>
      <c r="M18" s="718">
        <f>transport!L54</f>
        <v>0</v>
      </c>
      <c r="N18" s="718">
        <f>transport!M54</f>
        <v>91.631351490432309</v>
      </c>
      <c r="O18" s="718">
        <f>transport!N54</f>
        <v>0</v>
      </c>
      <c r="P18" s="718">
        <f>transport!O54</f>
        <v>0</v>
      </c>
      <c r="Q18" s="719">
        <f>transport!P54</f>
        <v>0</v>
      </c>
      <c r="R18" s="721">
        <f>SUM(C18:Q18)</f>
        <v>1704.9847627985632</v>
      </c>
      <c r="S18" s="67"/>
    </row>
    <row r="19" spans="1:19" s="474" customFormat="1" ht="15" thickBot="1">
      <c r="A19" s="870" t="s">
        <v>307</v>
      </c>
      <c r="B19" s="875"/>
      <c r="C19" s="727">
        <f>transport!B14</f>
        <v>55.102401753165395</v>
      </c>
      <c r="D19" s="727">
        <f>transport!C14</f>
        <v>0</v>
      </c>
      <c r="E19" s="727">
        <f>transport!D14</f>
        <v>192.1374527475235</v>
      </c>
      <c r="F19" s="727">
        <f>transport!E14</f>
        <v>272.90172903204069</v>
      </c>
      <c r="G19" s="727">
        <f>transport!F14</f>
        <v>0</v>
      </c>
      <c r="H19" s="727">
        <f>transport!G14</f>
        <v>102927.3865807351</v>
      </c>
      <c r="I19" s="727">
        <f>transport!H14</f>
        <v>21907.681178146522</v>
      </c>
      <c r="J19" s="727">
        <f>transport!I14</f>
        <v>0</v>
      </c>
      <c r="K19" s="727">
        <f>transport!J14</f>
        <v>0</v>
      </c>
      <c r="L19" s="727">
        <f>transport!K14</f>
        <v>0</v>
      </c>
      <c r="M19" s="727">
        <f>transport!L14</f>
        <v>0</v>
      </c>
      <c r="N19" s="727">
        <f>transport!M14</f>
        <v>6663.809272806122</v>
      </c>
      <c r="O19" s="727">
        <f>transport!N14</f>
        <v>0</v>
      </c>
      <c r="P19" s="727">
        <f>transport!O14</f>
        <v>0</v>
      </c>
      <c r="Q19" s="728">
        <f>transport!P14</f>
        <v>0</v>
      </c>
      <c r="R19" s="729">
        <f>SUM(C19:Q19)</f>
        <v>132019.01861522047</v>
      </c>
      <c r="S19" s="67"/>
    </row>
    <row r="20" spans="1:19" s="474" customFormat="1" ht="15.75" thickBot="1">
      <c r="A20" s="730" t="s">
        <v>230</v>
      </c>
      <c r="B20" s="878"/>
      <c r="C20" s="873">
        <f>SUM(C17:C19)</f>
        <v>55.102401753165395</v>
      </c>
      <c r="D20" s="731">
        <f t="shared" ref="D20:R20" si="1">SUM(D17:D19)</f>
        <v>0</v>
      </c>
      <c r="E20" s="731">
        <f t="shared" si="1"/>
        <v>192.1374527475235</v>
      </c>
      <c r="F20" s="731">
        <f t="shared" si="1"/>
        <v>272.90172903204069</v>
      </c>
      <c r="G20" s="731">
        <f t="shared" si="1"/>
        <v>0</v>
      </c>
      <c r="H20" s="731">
        <f t="shared" si="1"/>
        <v>104540.73999204322</v>
      </c>
      <c r="I20" s="731">
        <f t="shared" si="1"/>
        <v>21907.681178146522</v>
      </c>
      <c r="J20" s="731">
        <f t="shared" si="1"/>
        <v>0</v>
      </c>
      <c r="K20" s="731">
        <f t="shared" si="1"/>
        <v>0</v>
      </c>
      <c r="L20" s="731">
        <f t="shared" si="1"/>
        <v>0</v>
      </c>
      <c r="M20" s="731">
        <f t="shared" si="1"/>
        <v>0</v>
      </c>
      <c r="N20" s="731">
        <f t="shared" si="1"/>
        <v>6755.4406242965542</v>
      </c>
      <c r="O20" s="731">
        <f t="shared" si="1"/>
        <v>0</v>
      </c>
      <c r="P20" s="731">
        <f t="shared" si="1"/>
        <v>0</v>
      </c>
      <c r="Q20" s="732">
        <f t="shared" si="1"/>
        <v>0</v>
      </c>
      <c r="R20" s="733">
        <f t="shared" si="1"/>
        <v>133724.00337801903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2433.8820000000001</v>
      </c>
      <c r="D22" s="727">
        <f>+landbouw!C8</f>
        <v>77.142857142857139</v>
      </c>
      <c r="E22" s="727">
        <f>+landbouw!D8</f>
        <v>3892.3807560000005</v>
      </c>
      <c r="F22" s="727">
        <f>+landbouw!E8</f>
        <v>71.53922591366377</v>
      </c>
      <c r="G22" s="727">
        <f>+landbouw!F8</f>
        <v>10139.420891919903</v>
      </c>
      <c r="H22" s="727">
        <f>+landbouw!G8</f>
        <v>0</v>
      </c>
      <c r="I22" s="727">
        <f>+landbouw!H8</f>
        <v>0</v>
      </c>
      <c r="J22" s="727">
        <f>+landbouw!I8</f>
        <v>0</v>
      </c>
      <c r="K22" s="727">
        <f>+landbouw!J8</f>
        <v>352.6172335857417</v>
      </c>
      <c r="L22" s="727">
        <f>+landbouw!K8</f>
        <v>0</v>
      </c>
      <c r="M22" s="727">
        <f>+landbouw!L8</f>
        <v>0</v>
      </c>
      <c r="N22" s="727">
        <f>+landbouw!M8</f>
        <v>0</v>
      </c>
      <c r="O22" s="727">
        <f>+landbouw!N8</f>
        <v>0</v>
      </c>
      <c r="P22" s="727">
        <f>+landbouw!O8</f>
        <v>0</v>
      </c>
      <c r="Q22" s="728">
        <f>+landbouw!P8</f>
        <v>0</v>
      </c>
      <c r="R22" s="729">
        <f>SUM(C22:Q22)</f>
        <v>16966.982964562165</v>
      </c>
      <c r="S22" s="67"/>
    </row>
    <row r="23" spans="1:19" s="474" customFormat="1" ht="17.25" thickTop="1" thickBot="1">
      <c r="A23" s="734" t="s">
        <v>116</v>
      </c>
      <c r="B23" s="864"/>
      <c r="C23" s="735">
        <f ca="1">C20+C15+C22</f>
        <v>52244.92662446649</v>
      </c>
      <c r="D23" s="735">
        <f t="shared" ref="D23:Q23" ca="1" si="2">D20+D15+D22</f>
        <v>77.142857142857139</v>
      </c>
      <c r="E23" s="735">
        <f t="shared" ca="1" si="2"/>
        <v>53858.201578047527</v>
      </c>
      <c r="F23" s="735">
        <f t="shared" si="2"/>
        <v>6130.4204229236075</v>
      </c>
      <c r="G23" s="735">
        <f t="shared" ca="1" si="2"/>
        <v>88080.86739355592</v>
      </c>
      <c r="H23" s="735">
        <f t="shared" si="2"/>
        <v>104540.73999204322</v>
      </c>
      <c r="I23" s="735">
        <f t="shared" si="2"/>
        <v>21907.681178146522</v>
      </c>
      <c r="J23" s="735">
        <f t="shared" si="2"/>
        <v>0</v>
      </c>
      <c r="K23" s="735">
        <f t="shared" si="2"/>
        <v>353.71919411975705</v>
      </c>
      <c r="L23" s="735">
        <f t="shared" si="2"/>
        <v>0</v>
      </c>
      <c r="M23" s="735">
        <f t="shared" ca="1" si="2"/>
        <v>0</v>
      </c>
      <c r="N23" s="735">
        <f t="shared" si="2"/>
        <v>6755.4406242965542</v>
      </c>
      <c r="O23" s="735">
        <f t="shared" ca="1" si="2"/>
        <v>17727.535941889721</v>
      </c>
      <c r="P23" s="735">
        <f t="shared" si="2"/>
        <v>361.13</v>
      </c>
      <c r="Q23" s="736">
        <f t="shared" si="2"/>
        <v>1124.9333333333334</v>
      </c>
      <c r="R23" s="737">
        <f ca="1">R20+R15+R22</f>
        <v>353162.7391399655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3453.2717675916629</v>
      </c>
      <c r="D36" s="718">
        <f ca="1">tertiair!C20</f>
        <v>0</v>
      </c>
      <c r="E36" s="718">
        <f ca="1">tertiair!D20</f>
        <v>1791.6807686712</v>
      </c>
      <c r="F36" s="718">
        <f>tertiair!E20</f>
        <v>53.234681799369284</v>
      </c>
      <c r="G36" s="718">
        <f ca="1">tertiair!F20</f>
        <v>956.87069555271046</v>
      </c>
      <c r="H36" s="718">
        <f>tertiair!G20</f>
        <v>0</v>
      </c>
      <c r="I36" s="718">
        <f>tertiair!H20</f>
        <v>0</v>
      </c>
      <c r="J36" s="718">
        <f>tertiair!I20</f>
        <v>0</v>
      </c>
      <c r="K36" s="718">
        <f>tertiair!J20</f>
        <v>5.0865044492913798E-2</v>
      </c>
      <c r="L36" s="718">
        <f>tertiair!K20</f>
        <v>0</v>
      </c>
      <c r="M36" s="718">
        <f ca="1">tertiair!L20</f>
        <v>0</v>
      </c>
      <c r="N36" s="718">
        <f>tertiair!M20</f>
        <v>0</v>
      </c>
      <c r="O36" s="718">
        <f ca="1">tertiair!N20</f>
        <v>0</v>
      </c>
      <c r="P36" s="718">
        <f>tertiair!O20</f>
        <v>0</v>
      </c>
      <c r="Q36" s="828">
        <f>tertiair!P20</f>
        <v>0</v>
      </c>
      <c r="R36" s="917">
        <f ca="1">SUM(C36:Q36)</f>
        <v>6255.1087786594353</v>
      </c>
    </row>
    <row r="37" spans="1:18">
      <c r="A37" s="885" t="s">
        <v>225</v>
      </c>
      <c r="B37" s="892"/>
      <c r="C37" s="718">
        <f ca="1">huishoudens!B12</f>
        <v>5343.1423481650054</v>
      </c>
      <c r="D37" s="718">
        <f ca="1">huishoudens!C12</f>
        <v>0</v>
      </c>
      <c r="E37" s="718">
        <f>huishoudens!D12</f>
        <v>8005.6929626388028</v>
      </c>
      <c r="F37" s="718">
        <f>huishoudens!E12</f>
        <v>1182.7320824765752</v>
      </c>
      <c r="G37" s="718">
        <f>huishoudens!F12</f>
        <v>19550.38879312584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34081.956186406227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457.84762654608068</v>
      </c>
      <c r="D39" s="718">
        <f ca="1">industrie!C22</f>
        <v>0</v>
      </c>
      <c r="E39" s="718">
        <f>industrie!D22</f>
        <v>256.91030928859999</v>
      </c>
      <c r="F39" s="718">
        <f>industrie!E22</f>
        <v>77.450574955039684</v>
      </c>
      <c r="G39" s="718">
        <f>industrie!F22</f>
        <v>303.10672725826765</v>
      </c>
      <c r="H39" s="718">
        <f>industrie!G22</f>
        <v>0</v>
      </c>
      <c r="I39" s="718">
        <f>industrie!H22</f>
        <v>0</v>
      </c>
      <c r="J39" s="718">
        <f>industrie!I22</f>
        <v>0</v>
      </c>
      <c r="K39" s="718">
        <f>industrie!J22</f>
        <v>0.33922898454852524</v>
      </c>
      <c r="L39" s="718">
        <f>industrie!K22</f>
        <v>0</v>
      </c>
      <c r="M39" s="718">
        <f>industrie!L22</f>
        <v>0</v>
      </c>
      <c r="N39" s="718">
        <f>industrie!M22</f>
        <v>0</v>
      </c>
      <c r="O39" s="718">
        <f>industrie!N22</f>
        <v>0</v>
      </c>
      <c r="P39" s="718">
        <f>industrie!O22</f>
        <v>0</v>
      </c>
      <c r="Q39" s="828">
        <f>industrie!P22</f>
        <v>0</v>
      </c>
      <c r="R39" s="918">
        <f ca="1">SUM(C39:Q39)</f>
        <v>1095.6544670325366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9254.2617423027496</v>
      </c>
      <c r="D41" s="763">
        <f t="shared" ref="D41:R41" ca="1" si="4">SUM(D35:D40)</f>
        <v>0</v>
      </c>
      <c r="E41" s="763">
        <f t="shared" ca="1" si="4"/>
        <v>10054.284040598603</v>
      </c>
      <c r="F41" s="763">
        <f t="shared" si="4"/>
        <v>1313.4173392309842</v>
      </c>
      <c r="G41" s="763">
        <f t="shared" ca="1" si="4"/>
        <v>20810.366215936818</v>
      </c>
      <c r="H41" s="763">
        <f t="shared" si="4"/>
        <v>0</v>
      </c>
      <c r="I41" s="763">
        <f t="shared" si="4"/>
        <v>0</v>
      </c>
      <c r="J41" s="763">
        <f t="shared" si="4"/>
        <v>0</v>
      </c>
      <c r="K41" s="763">
        <f t="shared" si="4"/>
        <v>0.39009402904143903</v>
      </c>
      <c r="L41" s="763">
        <f t="shared" si="4"/>
        <v>0</v>
      </c>
      <c r="M41" s="763">
        <f t="shared" ca="1" si="4"/>
        <v>0</v>
      </c>
      <c r="N41" s="763">
        <f t="shared" si="4"/>
        <v>0</v>
      </c>
      <c r="O41" s="763">
        <f t="shared" ca="1" si="4"/>
        <v>0</v>
      </c>
      <c r="P41" s="763">
        <f t="shared" si="4"/>
        <v>0</v>
      </c>
      <c r="Q41" s="764">
        <f t="shared" si="4"/>
        <v>0</v>
      </c>
      <c r="R41" s="765">
        <f t="shared" ca="1" si="4"/>
        <v>41432.719432098202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430.765360819271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430.765360819271</v>
      </c>
    </row>
    <row r="45" spans="1:18" ht="15" thickBot="1">
      <c r="A45" s="888" t="s">
        <v>307</v>
      </c>
      <c r="B45" s="898"/>
      <c r="C45" s="727">
        <f ca="1">transport!B18</f>
        <v>10.248666303429648</v>
      </c>
      <c r="D45" s="727">
        <f>transport!C18</f>
        <v>0</v>
      </c>
      <c r="E45" s="727">
        <f>transport!D18</f>
        <v>38.811765454999751</v>
      </c>
      <c r="F45" s="727">
        <f>transport!E18</f>
        <v>61.948692490273238</v>
      </c>
      <c r="G45" s="727">
        <f>transport!F18</f>
        <v>0</v>
      </c>
      <c r="H45" s="727">
        <f>transport!G18</f>
        <v>27481.61221705627</v>
      </c>
      <c r="I45" s="727">
        <f>transport!H18</f>
        <v>5455.0126133584836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33047.633954663455</v>
      </c>
    </row>
    <row r="46" spans="1:18" ht="15.75" thickBot="1">
      <c r="A46" s="886" t="s">
        <v>230</v>
      </c>
      <c r="B46" s="899"/>
      <c r="C46" s="763">
        <f t="shared" ref="C46:R46" ca="1" si="5">SUM(C43:C45)</f>
        <v>10.248666303429648</v>
      </c>
      <c r="D46" s="763">
        <f t="shared" ca="1" si="5"/>
        <v>0</v>
      </c>
      <c r="E46" s="763">
        <f t="shared" si="5"/>
        <v>38.811765454999751</v>
      </c>
      <c r="F46" s="763">
        <f t="shared" si="5"/>
        <v>61.948692490273238</v>
      </c>
      <c r="G46" s="763">
        <f t="shared" si="5"/>
        <v>0</v>
      </c>
      <c r="H46" s="763">
        <f t="shared" si="5"/>
        <v>27912.377577875541</v>
      </c>
      <c r="I46" s="763">
        <f t="shared" si="5"/>
        <v>5455.0126133584836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33478.399315482726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452.68524866960138</v>
      </c>
      <c r="D48" s="718">
        <f ca="1">+landbouw!C12</f>
        <v>0</v>
      </c>
      <c r="E48" s="718">
        <f>+landbouw!D12</f>
        <v>786.26091271200016</v>
      </c>
      <c r="F48" s="718">
        <f>+landbouw!E12</f>
        <v>16.239404282401676</v>
      </c>
      <c r="G48" s="718">
        <f>+landbouw!F12</f>
        <v>2707.2253781426143</v>
      </c>
      <c r="H48" s="718">
        <f>+landbouw!G12</f>
        <v>0</v>
      </c>
      <c r="I48" s="718">
        <f>+landbouw!H12</f>
        <v>0</v>
      </c>
      <c r="J48" s="718">
        <f>+landbouw!I12</f>
        <v>0</v>
      </c>
      <c r="K48" s="718">
        <f>+landbouw!J12</f>
        <v>124.82650068935256</v>
      </c>
      <c r="L48" s="718">
        <f>+landbouw!K12</f>
        <v>0</v>
      </c>
      <c r="M48" s="718">
        <f>+landbouw!L12</f>
        <v>0</v>
      </c>
      <c r="N48" s="718">
        <f>+landbouw!M12</f>
        <v>0</v>
      </c>
      <c r="O48" s="718">
        <f>+landbouw!N12</f>
        <v>0</v>
      </c>
      <c r="P48" s="718">
        <f>+landbouw!O12</f>
        <v>0</v>
      </c>
      <c r="Q48" s="719">
        <f>+landbouw!P12</f>
        <v>0</v>
      </c>
      <c r="R48" s="761">
        <f ca="1">SUM(C48:Q48)</f>
        <v>4087.2374444959701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9717.195657275779</v>
      </c>
      <c r="D53" s="773">
        <f t="shared" ref="D53:Q53" ca="1" si="6">D41+D46+D48</f>
        <v>0</v>
      </c>
      <c r="E53" s="773">
        <f t="shared" ca="1" si="6"/>
        <v>10879.356718765603</v>
      </c>
      <c r="F53" s="773">
        <f t="shared" si="6"/>
        <v>1391.6054360036592</v>
      </c>
      <c r="G53" s="773">
        <f t="shared" ca="1" si="6"/>
        <v>23517.591594079433</v>
      </c>
      <c r="H53" s="773">
        <f t="shared" si="6"/>
        <v>27912.377577875541</v>
      </c>
      <c r="I53" s="773">
        <f t="shared" si="6"/>
        <v>5455.0126133584836</v>
      </c>
      <c r="J53" s="773">
        <f t="shared" si="6"/>
        <v>0</v>
      </c>
      <c r="K53" s="773">
        <f t="shared" si="6"/>
        <v>125.21659471839399</v>
      </c>
      <c r="L53" s="773">
        <f t="shared" si="6"/>
        <v>0</v>
      </c>
      <c r="M53" s="773">
        <f t="shared" ca="1" si="6"/>
        <v>0</v>
      </c>
      <c r="N53" s="773">
        <f t="shared" si="6"/>
        <v>0</v>
      </c>
      <c r="O53" s="773">
        <f t="shared" ca="1" si="6"/>
        <v>0</v>
      </c>
      <c r="P53" s="773">
        <f>P41+P46+P48</f>
        <v>0</v>
      </c>
      <c r="Q53" s="774">
        <f t="shared" si="6"/>
        <v>0</v>
      </c>
      <c r="R53" s="775">
        <f ca="1">R41+R46+R48</f>
        <v>78998.356192076899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0.18599309607844641</v>
      </c>
      <c r="D55" s="836">
        <f t="shared" ca="1" si="7"/>
        <v>0</v>
      </c>
      <c r="E55" s="836">
        <f t="shared" ca="1" si="7"/>
        <v>0.20200000000000004</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8221.7155055715575</v>
      </c>
      <c r="C66" s="795">
        <f>'lokale energieproductie'!B6</f>
        <v>8221.7155055715575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54</v>
      </c>
      <c r="C67" s="794">
        <f>B67*IFERROR(SUM(J67:L67)/SUM(D67:M67),0)</f>
        <v>54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63.529411764705898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8275.7155055715575</v>
      </c>
      <c r="C69" s="803">
        <f>SUM(C64:C68)</f>
        <v>8275.7155055715575</v>
      </c>
      <c r="D69" s="804">
        <f t="shared" ref="D69:M69" si="8">SUM(D67:D68)</f>
        <v>0</v>
      </c>
      <c r="E69" s="804">
        <f t="shared" si="8"/>
        <v>0</v>
      </c>
      <c r="F69" s="804">
        <f t="shared" si="8"/>
        <v>0</v>
      </c>
      <c r="G69" s="804">
        <f t="shared" si="8"/>
        <v>0</v>
      </c>
      <c r="H69" s="804">
        <f t="shared" si="8"/>
        <v>0</v>
      </c>
      <c r="I69" s="804">
        <f t="shared" si="8"/>
        <v>0</v>
      </c>
      <c r="J69" s="804">
        <f t="shared" si="8"/>
        <v>0</v>
      </c>
      <c r="K69" s="804">
        <f t="shared" si="8"/>
        <v>63.529411764705898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77.142857142857139</v>
      </c>
      <c r="C78" s="817">
        <f>B78*IFERROR(SUM(I78:L78)/SUM(D78:M78),0)</f>
        <v>77.142857142857139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90.756302521008422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77.142857142857139</v>
      </c>
      <c r="C81" s="803">
        <f>SUM(C78:C80)</f>
        <v>77.142857142857139</v>
      </c>
      <c r="D81" s="803">
        <f t="shared" ref="D81:P81" si="9">SUM(D78:D80)</f>
        <v>0</v>
      </c>
      <c r="E81" s="803">
        <f t="shared" si="9"/>
        <v>0</v>
      </c>
      <c r="F81" s="803">
        <f t="shared" si="9"/>
        <v>0</v>
      </c>
      <c r="G81" s="803">
        <f t="shared" si="9"/>
        <v>0</v>
      </c>
      <c r="H81" s="803">
        <f t="shared" si="9"/>
        <v>0</v>
      </c>
      <c r="I81" s="803">
        <f t="shared" si="9"/>
        <v>0</v>
      </c>
      <c r="J81" s="803">
        <f t="shared" si="9"/>
        <v>0</v>
      </c>
      <c r="K81" s="803">
        <f t="shared" si="9"/>
        <v>90.756302521008422</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28727.638072713326</v>
      </c>
      <c r="C4" s="478">
        <f>huishoudens!C8</f>
        <v>0</v>
      </c>
      <c r="D4" s="478">
        <f>huishoudens!D8</f>
        <v>39632.143379400011</v>
      </c>
      <c r="E4" s="478">
        <f>huishoudens!E8</f>
        <v>5210.2734910862346</v>
      </c>
      <c r="F4" s="478">
        <f>huishoudens!F8</f>
        <v>73222.429936800894</v>
      </c>
      <c r="G4" s="478">
        <f>huishoudens!G8</f>
        <v>0</v>
      </c>
      <c r="H4" s="478">
        <f>huishoudens!H8</f>
        <v>0</v>
      </c>
      <c r="I4" s="478">
        <f>huishoudens!I8</f>
        <v>0</v>
      </c>
      <c r="J4" s="478">
        <f>huishoudens!J8</f>
        <v>0</v>
      </c>
      <c r="K4" s="478">
        <f>huishoudens!K8</f>
        <v>0</v>
      </c>
      <c r="L4" s="478">
        <f>huishoudens!L8</f>
        <v>0</v>
      </c>
      <c r="M4" s="478">
        <f>huishoudens!M8</f>
        <v>0</v>
      </c>
      <c r="N4" s="478">
        <f>huishoudens!N8</f>
        <v>11436.279829844598</v>
      </c>
      <c r="O4" s="478">
        <f>huishoudens!O8</f>
        <v>356.44</v>
      </c>
      <c r="P4" s="479">
        <f>huishoudens!P8</f>
        <v>1105.8666666666668</v>
      </c>
      <c r="Q4" s="480">
        <f>SUM(B4:P4)</f>
        <v>159691.07137651174</v>
      </c>
    </row>
    <row r="5" spans="1:17">
      <c r="A5" s="477" t="s">
        <v>156</v>
      </c>
      <c r="B5" s="478">
        <f ca="1">tertiair!B16</f>
        <v>17668.074399999998</v>
      </c>
      <c r="C5" s="478">
        <f ca="1">tertiair!C16</f>
        <v>0</v>
      </c>
      <c r="D5" s="478">
        <f ca="1">tertiair!D16</f>
        <v>8869.7067755999997</v>
      </c>
      <c r="E5" s="478">
        <f>tertiair!E16</f>
        <v>234.51401673730962</v>
      </c>
      <c r="F5" s="478">
        <f ca="1">tertiair!F16</f>
        <v>3583.7853766019116</v>
      </c>
      <c r="G5" s="478">
        <f>tertiair!G16</f>
        <v>0</v>
      </c>
      <c r="H5" s="478">
        <f>tertiair!H16</f>
        <v>0</v>
      </c>
      <c r="I5" s="478">
        <f>tertiair!I16</f>
        <v>0</v>
      </c>
      <c r="J5" s="478">
        <f>tertiair!J16</f>
        <v>0.14368656636416327</v>
      </c>
      <c r="K5" s="478">
        <f>tertiair!K16</f>
        <v>0</v>
      </c>
      <c r="L5" s="478">
        <f ca="1">tertiair!L16</f>
        <v>0</v>
      </c>
      <c r="M5" s="478">
        <f>tertiair!M16</f>
        <v>0</v>
      </c>
      <c r="N5" s="478">
        <f ca="1">tertiair!N16</f>
        <v>5642.6857034113327</v>
      </c>
      <c r="O5" s="478">
        <f>tertiair!O16</f>
        <v>4.6900000000000004</v>
      </c>
      <c r="P5" s="479">
        <f>tertiair!P16</f>
        <v>19.066666666666666</v>
      </c>
      <c r="Q5" s="477">
        <f t="shared" ref="Q5:Q13" ca="1" si="0">SUM(B5:P5)</f>
        <v>36022.666625583581</v>
      </c>
    </row>
    <row r="6" spans="1:17">
      <c r="A6" s="477" t="s">
        <v>194</v>
      </c>
      <c r="B6" s="478">
        <f>'openbare verlichting'!B8</f>
        <v>898.59199999999998</v>
      </c>
      <c r="C6" s="478"/>
      <c r="D6" s="478"/>
      <c r="E6" s="478"/>
      <c r="F6" s="478"/>
      <c r="G6" s="478"/>
      <c r="H6" s="478"/>
      <c r="I6" s="478"/>
      <c r="J6" s="478"/>
      <c r="K6" s="478"/>
      <c r="L6" s="478"/>
      <c r="M6" s="478"/>
      <c r="N6" s="478"/>
      <c r="O6" s="478"/>
      <c r="P6" s="479"/>
      <c r="Q6" s="477">
        <f t="shared" si="0"/>
        <v>898.59199999999998</v>
      </c>
    </row>
    <row r="7" spans="1:17">
      <c r="A7" s="477" t="s">
        <v>112</v>
      </c>
      <c r="B7" s="478">
        <f>landbouw!B8</f>
        <v>2433.8820000000001</v>
      </c>
      <c r="C7" s="478">
        <f>landbouw!C8</f>
        <v>77.142857142857139</v>
      </c>
      <c r="D7" s="478">
        <f>landbouw!D8</f>
        <v>3892.3807560000005</v>
      </c>
      <c r="E7" s="478">
        <f>landbouw!E8</f>
        <v>71.53922591366377</v>
      </c>
      <c r="F7" s="478">
        <f>landbouw!F8</f>
        <v>10139.420891919903</v>
      </c>
      <c r="G7" s="478">
        <f>landbouw!G8</f>
        <v>0</v>
      </c>
      <c r="H7" s="478">
        <f>landbouw!H8</f>
        <v>0</v>
      </c>
      <c r="I7" s="478">
        <f>landbouw!I8</f>
        <v>0</v>
      </c>
      <c r="J7" s="478">
        <f>landbouw!J8</f>
        <v>352.6172335857417</v>
      </c>
      <c r="K7" s="478">
        <f>landbouw!K8</f>
        <v>0</v>
      </c>
      <c r="L7" s="478">
        <f>landbouw!L8</f>
        <v>0</v>
      </c>
      <c r="M7" s="478">
        <f>landbouw!M8</f>
        <v>0</v>
      </c>
      <c r="N7" s="478">
        <f>landbouw!N8</f>
        <v>0</v>
      </c>
      <c r="O7" s="478">
        <f>landbouw!O8</f>
        <v>0</v>
      </c>
      <c r="P7" s="479">
        <f>landbouw!P8</f>
        <v>0</v>
      </c>
      <c r="Q7" s="477">
        <f t="shared" si="0"/>
        <v>16966.982964562165</v>
      </c>
    </row>
    <row r="8" spans="1:17">
      <c r="A8" s="477" t="s">
        <v>635</v>
      </c>
      <c r="B8" s="478">
        <f>industrie!B18</f>
        <v>2461.6377499999999</v>
      </c>
      <c r="C8" s="478">
        <f>industrie!C18</f>
        <v>0</v>
      </c>
      <c r="D8" s="478">
        <f>industrie!D18</f>
        <v>1271.8332143</v>
      </c>
      <c r="E8" s="478">
        <f>industrie!E18</f>
        <v>341.19196015435983</v>
      </c>
      <c r="F8" s="478">
        <f>industrie!F18</f>
        <v>1135.2311882332122</v>
      </c>
      <c r="G8" s="478">
        <f>industrie!G18</f>
        <v>0</v>
      </c>
      <c r="H8" s="478">
        <f>industrie!H18</f>
        <v>0</v>
      </c>
      <c r="I8" s="478">
        <f>industrie!I18</f>
        <v>0</v>
      </c>
      <c r="J8" s="478">
        <f>industrie!J18</f>
        <v>0.95827396765120121</v>
      </c>
      <c r="K8" s="478">
        <f>industrie!K18</f>
        <v>0</v>
      </c>
      <c r="L8" s="478">
        <f>industrie!L18</f>
        <v>0</v>
      </c>
      <c r="M8" s="478">
        <f>industrie!M18</f>
        <v>0</v>
      </c>
      <c r="N8" s="478">
        <f>industrie!N18</f>
        <v>648.57040863379154</v>
      </c>
      <c r="O8" s="478">
        <f>industrie!O18</f>
        <v>0</v>
      </c>
      <c r="P8" s="479">
        <f>industrie!P18</f>
        <v>0</v>
      </c>
      <c r="Q8" s="477">
        <f t="shared" si="0"/>
        <v>5859.4227952890151</v>
      </c>
    </row>
    <row r="9" spans="1:17" s="483" customFormat="1">
      <c r="A9" s="481" t="s">
        <v>561</v>
      </c>
      <c r="B9" s="482">
        <f>transport!B14</f>
        <v>55.102401753165395</v>
      </c>
      <c r="C9" s="482">
        <f>transport!C14</f>
        <v>0</v>
      </c>
      <c r="D9" s="482">
        <f>transport!D14</f>
        <v>192.1374527475235</v>
      </c>
      <c r="E9" s="482">
        <f>transport!E14</f>
        <v>272.90172903204069</v>
      </c>
      <c r="F9" s="482">
        <f>transport!F14</f>
        <v>0</v>
      </c>
      <c r="G9" s="482">
        <f>transport!G14</f>
        <v>102927.3865807351</v>
      </c>
      <c r="H9" s="482">
        <f>transport!H14</f>
        <v>21907.681178146522</v>
      </c>
      <c r="I9" s="482">
        <f>transport!I14</f>
        <v>0</v>
      </c>
      <c r="J9" s="482">
        <f>transport!J14</f>
        <v>0</v>
      </c>
      <c r="K9" s="482">
        <f>transport!K14</f>
        <v>0</v>
      </c>
      <c r="L9" s="482">
        <f>transport!L14</f>
        <v>0</v>
      </c>
      <c r="M9" s="482">
        <f>transport!M14</f>
        <v>6663.809272806122</v>
      </c>
      <c r="N9" s="482">
        <f>transport!N14</f>
        <v>0</v>
      </c>
      <c r="O9" s="482">
        <f>transport!O14</f>
        <v>0</v>
      </c>
      <c r="P9" s="482">
        <f>transport!P14</f>
        <v>0</v>
      </c>
      <c r="Q9" s="481">
        <f>SUM(B9:P9)</f>
        <v>132019.01861522047</v>
      </c>
    </row>
    <row r="10" spans="1:17">
      <c r="A10" s="477" t="s">
        <v>551</v>
      </c>
      <c r="B10" s="478">
        <f>transport!B54</f>
        <v>0</v>
      </c>
      <c r="C10" s="478">
        <f>transport!C54</f>
        <v>0</v>
      </c>
      <c r="D10" s="478">
        <f>transport!D54</f>
        <v>0</v>
      </c>
      <c r="E10" s="478">
        <f>transport!E54</f>
        <v>0</v>
      </c>
      <c r="F10" s="478">
        <f>transport!F54</f>
        <v>0</v>
      </c>
      <c r="G10" s="478">
        <f>transport!G54</f>
        <v>1613.3534113081309</v>
      </c>
      <c r="H10" s="478">
        <f>transport!H54</f>
        <v>0</v>
      </c>
      <c r="I10" s="478">
        <f>transport!I54</f>
        <v>0</v>
      </c>
      <c r="J10" s="478">
        <f>transport!J54</f>
        <v>0</v>
      </c>
      <c r="K10" s="478">
        <f>transport!K54</f>
        <v>0</v>
      </c>
      <c r="L10" s="478">
        <f>transport!L54</f>
        <v>0</v>
      </c>
      <c r="M10" s="478">
        <f>transport!M54</f>
        <v>91.631351490432309</v>
      </c>
      <c r="N10" s="478">
        <f>transport!N54</f>
        <v>0</v>
      </c>
      <c r="O10" s="478">
        <f>transport!O54</f>
        <v>0</v>
      </c>
      <c r="P10" s="479">
        <f>transport!P54</f>
        <v>0</v>
      </c>
      <c r="Q10" s="477">
        <f t="shared" si="0"/>
        <v>1704.9847627985632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52244.926624466483</v>
      </c>
      <c r="C14" s="488">
        <f t="shared" ref="C14:Q14" ca="1" si="1">SUM(C4:C13)</f>
        <v>77.142857142857139</v>
      </c>
      <c r="D14" s="488">
        <f t="shared" ca="1" si="1"/>
        <v>53858.201578047527</v>
      </c>
      <c r="E14" s="488">
        <f t="shared" si="1"/>
        <v>6130.4204229236075</v>
      </c>
      <c r="F14" s="488">
        <f t="shared" ca="1" si="1"/>
        <v>88080.86739355592</v>
      </c>
      <c r="G14" s="488">
        <f t="shared" si="1"/>
        <v>104540.73999204322</v>
      </c>
      <c r="H14" s="488">
        <f t="shared" si="1"/>
        <v>21907.681178146522</v>
      </c>
      <c r="I14" s="488">
        <f t="shared" si="1"/>
        <v>0</v>
      </c>
      <c r="J14" s="488">
        <f t="shared" si="1"/>
        <v>353.71919411975711</v>
      </c>
      <c r="K14" s="488">
        <f t="shared" si="1"/>
        <v>0</v>
      </c>
      <c r="L14" s="488">
        <f t="shared" ca="1" si="1"/>
        <v>0</v>
      </c>
      <c r="M14" s="488">
        <f t="shared" si="1"/>
        <v>6755.4406242965542</v>
      </c>
      <c r="N14" s="488">
        <f t="shared" ca="1" si="1"/>
        <v>17727.535941889721</v>
      </c>
      <c r="O14" s="488">
        <f t="shared" si="1"/>
        <v>361.13</v>
      </c>
      <c r="P14" s="489">
        <f t="shared" si="1"/>
        <v>1124.9333333333334</v>
      </c>
      <c r="Q14" s="489">
        <f t="shared" ca="1" si="1"/>
        <v>353162.73913996556</v>
      </c>
    </row>
    <row r="16" spans="1:17">
      <c r="A16" s="491" t="s">
        <v>556</v>
      </c>
      <c r="B16" s="841">
        <f ca="1">huishoudens!B10</f>
        <v>0.18599309607844644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5343.1423481650054</v>
      </c>
      <c r="C21" s="478">
        <f t="shared" ref="C21:C30" ca="1" si="3">C4*$C$16</f>
        <v>0</v>
      </c>
      <c r="D21" s="478">
        <f t="shared" ref="D21:D30" si="4">D4*$D$16</f>
        <v>8005.6929626388028</v>
      </c>
      <c r="E21" s="478">
        <f t="shared" ref="E21:E30" si="5">E4*$E$16</f>
        <v>1182.7320824765752</v>
      </c>
      <c r="F21" s="478">
        <f t="shared" ref="F21:F30" si="6">F4*$F$16</f>
        <v>19550.38879312584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34081.956186406227</v>
      </c>
    </row>
    <row r="22" spans="1:17">
      <c r="A22" s="477" t="s">
        <v>156</v>
      </c>
      <c r="B22" s="478">
        <f t="shared" ca="1" si="2"/>
        <v>3286.1398594003394</v>
      </c>
      <c r="C22" s="478">
        <f t="shared" ca="1" si="3"/>
        <v>0</v>
      </c>
      <c r="D22" s="478">
        <f t="shared" ca="1" si="4"/>
        <v>1791.6807686712</v>
      </c>
      <c r="E22" s="478">
        <f t="shared" si="5"/>
        <v>53.234681799369284</v>
      </c>
      <c r="F22" s="478">
        <f t="shared" ca="1" si="6"/>
        <v>956.87069555271046</v>
      </c>
      <c r="G22" s="478">
        <f t="shared" si="7"/>
        <v>0</v>
      </c>
      <c r="H22" s="478">
        <f t="shared" si="8"/>
        <v>0</v>
      </c>
      <c r="I22" s="478">
        <f t="shared" si="9"/>
        <v>0</v>
      </c>
      <c r="J22" s="478">
        <f t="shared" si="10"/>
        <v>5.0865044492913798E-2</v>
      </c>
      <c r="K22" s="478">
        <f t="shared" si="11"/>
        <v>0</v>
      </c>
      <c r="L22" s="478">
        <f t="shared" ca="1" si="12"/>
        <v>0</v>
      </c>
      <c r="M22" s="478">
        <f t="shared" si="13"/>
        <v>0</v>
      </c>
      <c r="N22" s="478">
        <f t="shared" ca="1" si="14"/>
        <v>0</v>
      </c>
      <c r="O22" s="478">
        <f t="shared" si="15"/>
        <v>0</v>
      </c>
      <c r="P22" s="479">
        <f t="shared" si="16"/>
        <v>0</v>
      </c>
      <c r="Q22" s="477">
        <f t="shared" ref="Q22:Q30" ca="1" si="17">SUM(B22:P22)</f>
        <v>6087.9768704681119</v>
      </c>
    </row>
    <row r="23" spans="1:17">
      <c r="A23" s="477" t="s">
        <v>194</v>
      </c>
      <c r="B23" s="478">
        <f t="shared" ca="1" si="2"/>
        <v>167.13190819132333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167.13190819132333</v>
      </c>
    </row>
    <row r="24" spans="1:17">
      <c r="A24" s="477" t="s">
        <v>112</v>
      </c>
      <c r="B24" s="478">
        <f t="shared" ca="1" si="2"/>
        <v>452.68524866960138</v>
      </c>
      <c r="C24" s="478">
        <f t="shared" ca="1" si="3"/>
        <v>0</v>
      </c>
      <c r="D24" s="478">
        <f t="shared" si="4"/>
        <v>786.26091271200016</v>
      </c>
      <c r="E24" s="478">
        <f t="shared" si="5"/>
        <v>16.239404282401676</v>
      </c>
      <c r="F24" s="478">
        <f t="shared" si="6"/>
        <v>2707.2253781426143</v>
      </c>
      <c r="G24" s="478">
        <f t="shared" si="7"/>
        <v>0</v>
      </c>
      <c r="H24" s="478">
        <f t="shared" si="8"/>
        <v>0</v>
      </c>
      <c r="I24" s="478">
        <f t="shared" si="9"/>
        <v>0</v>
      </c>
      <c r="J24" s="478">
        <f t="shared" si="10"/>
        <v>124.82650068935256</v>
      </c>
      <c r="K24" s="478">
        <f t="shared" si="11"/>
        <v>0</v>
      </c>
      <c r="L24" s="478">
        <f t="shared" si="12"/>
        <v>0</v>
      </c>
      <c r="M24" s="478">
        <f t="shared" si="13"/>
        <v>0</v>
      </c>
      <c r="N24" s="478">
        <f t="shared" si="14"/>
        <v>0</v>
      </c>
      <c r="O24" s="478">
        <f t="shared" si="15"/>
        <v>0</v>
      </c>
      <c r="P24" s="479">
        <f t="shared" si="16"/>
        <v>0</v>
      </c>
      <c r="Q24" s="477">
        <f t="shared" ca="1" si="17"/>
        <v>4087.2374444959701</v>
      </c>
    </row>
    <row r="25" spans="1:17">
      <c r="A25" s="477" t="s">
        <v>635</v>
      </c>
      <c r="B25" s="478">
        <f t="shared" ca="1" si="2"/>
        <v>457.84762654608068</v>
      </c>
      <c r="C25" s="478">
        <f t="shared" ca="1" si="3"/>
        <v>0</v>
      </c>
      <c r="D25" s="478">
        <f t="shared" si="4"/>
        <v>256.91030928859999</v>
      </c>
      <c r="E25" s="478">
        <f t="shared" si="5"/>
        <v>77.450574955039684</v>
      </c>
      <c r="F25" s="478">
        <f t="shared" si="6"/>
        <v>303.10672725826765</v>
      </c>
      <c r="G25" s="478">
        <f t="shared" si="7"/>
        <v>0</v>
      </c>
      <c r="H25" s="478">
        <f t="shared" si="8"/>
        <v>0</v>
      </c>
      <c r="I25" s="478">
        <f t="shared" si="9"/>
        <v>0</v>
      </c>
      <c r="J25" s="478">
        <f t="shared" si="10"/>
        <v>0.33922898454852524</v>
      </c>
      <c r="K25" s="478">
        <f t="shared" si="11"/>
        <v>0</v>
      </c>
      <c r="L25" s="478">
        <f t="shared" si="12"/>
        <v>0</v>
      </c>
      <c r="M25" s="478">
        <f t="shared" si="13"/>
        <v>0</v>
      </c>
      <c r="N25" s="478">
        <f t="shared" si="14"/>
        <v>0</v>
      </c>
      <c r="O25" s="478">
        <f t="shared" si="15"/>
        <v>0</v>
      </c>
      <c r="P25" s="479">
        <f t="shared" si="16"/>
        <v>0</v>
      </c>
      <c r="Q25" s="477">
        <f t="shared" ca="1" si="17"/>
        <v>1095.6544670325366</v>
      </c>
    </row>
    <row r="26" spans="1:17" s="483" customFormat="1">
      <c r="A26" s="481" t="s">
        <v>561</v>
      </c>
      <c r="B26" s="835">
        <f t="shared" ca="1" si="2"/>
        <v>10.248666303429648</v>
      </c>
      <c r="C26" s="482">
        <f t="shared" ca="1" si="3"/>
        <v>0</v>
      </c>
      <c r="D26" s="482">
        <f t="shared" si="4"/>
        <v>38.811765454999751</v>
      </c>
      <c r="E26" s="482">
        <f t="shared" si="5"/>
        <v>61.948692490273238</v>
      </c>
      <c r="F26" s="482">
        <f t="shared" si="6"/>
        <v>0</v>
      </c>
      <c r="G26" s="482">
        <f t="shared" si="7"/>
        <v>27481.61221705627</v>
      </c>
      <c r="H26" s="482">
        <f t="shared" si="8"/>
        <v>5455.0126133584836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33047.633954663455</v>
      </c>
    </row>
    <row r="27" spans="1:17">
      <c r="A27" s="477" t="s">
        <v>551</v>
      </c>
      <c r="B27" s="478">
        <f t="shared" ca="1" si="2"/>
        <v>0</v>
      </c>
      <c r="C27" s="478">
        <f t="shared" ca="1" si="3"/>
        <v>0</v>
      </c>
      <c r="D27" s="478">
        <f t="shared" si="4"/>
        <v>0</v>
      </c>
      <c r="E27" s="478">
        <f t="shared" si="5"/>
        <v>0</v>
      </c>
      <c r="F27" s="478">
        <f t="shared" si="6"/>
        <v>0</v>
      </c>
      <c r="G27" s="478">
        <f t="shared" si="7"/>
        <v>430.765360819271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430.765360819271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9717.195657275779</v>
      </c>
      <c r="C31" s="488">
        <f t="shared" ca="1" si="18"/>
        <v>0</v>
      </c>
      <c r="D31" s="488">
        <f t="shared" ca="1" si="18"/>
        <v>10879.356718765603</v>
      </c>
      <c r="E31" s="488">
        <f t="shared" si="18"/>
        <v>1391.6054360036592</v>
      </c>
      <c r="F31" s="488">
        <f t="shared" ca="1" si="18"/>
        <v>23517.591594079433</v>
      </c>
      <c r="G31" s="488">
        <f t="shared" si="18"/>
        <v>27912.377577875541</v>
      </c>
      <c r="H31" s="488">
        <f t="shared" si="18"/>
        <v>5455.0126133584836</v>
      </c>
      <c r="I31" s="488">
        <f t="shared" si="18"/>
        <v>0</v>
      </c>
      <c r="J31" s="488">
        <f t="shared" si="18"/>
        <v>125.21659471839399</v>
      </c>
      <c r="K31" s="488">
        <f t="shared" si="18"/>
        <v>0</v>
      </c>
      <c r="L31" s="488">
        <f t="shared" ca="1" si="18"/>
        <v>0</v>
      </c>
      <c r="M31" s="488">
        <f t="shared" si="18"/>
        <v>0</v>
      </c>
      <c r="N31" s="488">
        <f t="shared" ca="1" si="18"/>
        <v>0</v>
      </c>
      <c r="O31" s="488">
        <f t="shared" si="18"/>
        <v>0</v>
      </c>
      <c r="P31" s="489">
        <f t="shared" si="18"/>
        <v>0</v>
      </c>
      <c r="Q31" s="489">
        <f t="shared" ca="1" si="18"/>
        <v>78998.356192076913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0.18599309607844644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0.18599309607844644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0.18599309607844644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2018-09-06T12:49:31Z</dcterms:modified>
</cp:coreProperties>
</file>