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F8" i="48"/>
  <c r="Q4"/>
  <c r="N22"/>
  <c r="R11" i="14"/>
  <c r="J21" i="48"/>
  <c r="R10" i="14"/>
  <c r="Q5" i="48" l="1"/>
  <c r="O13" i="14"/>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<sst xmlns="http://schemas.openxmlformats.org/spreadsheetml/2006/main" count="1914" uniqueCount="809">
  <si>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</si>
  <si>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</si>
  <si>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</si>
  <si>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</si>
  <si>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</si>
  <si>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</si>
  <si>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</si>
  <si>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</si>
  <si>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</si>
  <si>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</si>
  <si>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</si>
  <si>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</si>
  <si>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</si>
  <si>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</si>
  <si>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</si>
  <si>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</si>
  <si>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</si>
  <si>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</si>
  <si>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</si>
  <si>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</si>
  <si>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</si>
  <si>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</si>
  <si>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</si>
  <si>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</si>
  <si>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</si>
  <si>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</si>
  <si>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</si>
  <si>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</si>
  <si>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</si>
  <si>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</si>
  <si>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</si>
  <si>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</si>
  <si>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</si>
  <si>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</si>
  <si>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</si>
  <si>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</si>
  <si>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</si>
  <si>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</si>
  <si>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</si>
  <si>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</si>
  <si>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</si>
  <si>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</si>
  <si>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</si>
  <si>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</si>
  <si>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</si>
  <si>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</si>
  <si>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</si>
  <si>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</si>
  <si>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</si>
  <si>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</si>
  <si>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</si>
  <si>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</si>
  <si>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</si>
  <si>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</si>
  <si>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</si>
  <si>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</si>
  <si>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</si>
  <si>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</si>
  <si>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</si>
  <si>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</si>
  <si>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</si>
  <si>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</si>
  <si>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</si>
  <si>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</si>
  <si>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</si>
  <si>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</si>
  <si>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</si>
  <si>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</si>
  <si>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</si>
  <si>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</si>
  <si>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</si>
  <si>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</si>
  <si>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</si>
  <si>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</si>
  <si>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</si>
  <si>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</si>
  <si>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</si>
  <si>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</si>
  <si>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</si>
  <si>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</si>
  <si>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</si>
  <si>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</si>
  <si>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</si>
  <si>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</si>
  <si>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</si>
  <si>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</si>
  <si>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</si>
  <si>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</si>
  <si>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</si>
  <si>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</si>
  <si>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</si>
  <si>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</si>
  <si>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</si>
  <si>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</si>
  <si>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</si>
  <si>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</si>
  <si>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</si>
  <si>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</si>
  <si>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</si>
  <si>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</si>
  <si>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</si>
  <si>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</si>
  <si>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</si>
  <si>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</si>
  <si>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</si>
  <si>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</si>
  <si>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</si>
  <si>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</si>
  <si>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</si>
  <si>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</si>
  <si>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</si>
  <si>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</si>
  <si>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</si>
  <si>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</si>
  <si>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</si>
  <si>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</si>
  <si>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</si>
  <si>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</si>
  <si>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</si>
  <si>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</si>
  <si>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</si>
  <si>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</si>
  <si>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</si>
  <si>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</si>
  <si>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</si>
  <si>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</si>
  <si>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</si>
  <si>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</si>
  <si>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</si>
  <si>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</si>
  <si>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</si>
  <si>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</si>
  <si>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</si>
  <si>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</si>
  <si>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</si>
  <si>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</si>
  <si>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</si>
  <si>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</si>
  <si>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</si>
  <si>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</si>
  <si>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</si>
  <si>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</si>
  <si>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</si>
  <si>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</si>
  <si>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</si>
  <si>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</si>
  <si>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</si>
  <si>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</si>
  <si>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</si>
  <si>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</si>
  <si>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</si>
  <si>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</si>
  <si>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</si>
  <si>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</si>
  <si>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</si>
  <si>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</si>
  <si>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</si>
  <si>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</si>
  <si>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</si>
  <si>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</si>
  <si>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</si>
  <si>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</si>
  <si>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</si>
  <si>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</si>
  <si>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</si>
  <si>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</si>
  <si>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</si>
  <si>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</si>
  <si>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</si>
  <si>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</si>
  <si>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</si>
  <si>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</si>
  <si>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</si>
  <si>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</si>
  <si>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</si>
  <si>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</si>
  <si>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</si>
  <si>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</si>
  <si>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</si>
  <si>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</si>
  <si>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</si>
  <si>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</si>
  <si>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</si>
  <si>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</si>
  <si>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</si>
  <si>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</si>
  <si>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</si>
  <si>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</si>
  <si>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</si>
  <si>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</si>
  <si>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</si>
  <si>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</si>
  <si>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</si>
  <si>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</si>
  <si>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</si>
  <si>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</si>
  <si>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</si>
  <si>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</si>
  <si>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</si>
  <si>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</si>
  <si>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</si>
  <si>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</si>
  <si>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</si>
  <si>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</si>
  <si>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</si>
  <si>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</si>
  <si>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</si>
  <si>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</si>
  <si>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</si>
  <si>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</si>
  <si>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</si>
  <si>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</si>
  <si>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</si>
  <si>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</si>
  <si>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</si>
  <si>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</si>
  <si>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</si>
  <si>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</si>
  <si>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</si>
  <si>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</si>
  <si>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</si>
  <si>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</si>
  <si>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</si>
  <si>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</si>
  <si>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</si>
  <si>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</si>
  <si>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</si>
  <si>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</si>
  <si>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</si>
  <si>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</si>
  <si>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</si>
  <si>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</si>
  <si>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</si>
  <si>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</si>
  <si>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</si>
  <si>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</si>
  <si>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</si>
  <si>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</si>
  <si>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</si>
  <si>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</si>
  <si>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</si>
  <si>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</si>
  <si>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</si>
  <si>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</si>
  <si>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</si>
  <si>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</si>
  <si>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</si>
  <si>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</si>
  <si>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</si>
  <si>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</si>
  <si>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</si>
  <si>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</si>
  <si>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</si>
  <si>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</si>
  <si>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</si>
  <si>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</si>
  <si>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</si>
  <si>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</si>
  <si>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</si>
  <si>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</si>
  <si>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</si>
  <si>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</si>
  <si>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</si>
  <si>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</si>
  <si>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</si>
  <si>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</si>
  <si>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</si>
  <si>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</si>
  <si>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</si>
  <si>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</si>
  <si>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</si>
  <si>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</si>
  <si>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</si>
  <si>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</si>
  <si>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</si>
  <si>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</si>
  <si>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</si>
  <si>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</si>
  <si>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</si>
  <si>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</si>
  <si>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</si>
  <si>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</si>
  <si>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</si>
  <si>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</si>
  <si>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</si>
  <si>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</si>
  <si>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</si>
  <si>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</si>
  <si>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</si>
  <si>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</si>
  <si>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</si>
  <si>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</si>
  <si>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</si>
  <si>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</si>
  <si>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</si>
  <si>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</si>
  <si>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</si>
  <si>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</si>
  <si>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</si>
  <si>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</si>
  <si>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</si>
  <si>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</si>
  <si>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</si>
  <si>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</si>
  <si>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</si>
  <si>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</si>
  <si>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</si>
  <si>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</si>
  <si>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</si>
  <si>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</si>
  <si>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</si>
  <si>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</si>
  <si>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</si>
  <si>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</si>
  <si>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</si>
  <si>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</si>
  <si>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</si>
  <si>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</si>
  <si>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</si>
  <si>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</si>
  <si>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</si>
  <si>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</si>
  <si>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</si>
  <si>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</si>
  <si>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</si>
  <si>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</si>
  <si>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</si>
  <si>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</si>
  <si>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</si>
  <si>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</si>
  <si>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</si>
  <si>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</si>
  <si>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</si>
  <si>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</si>
  <si>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</si>
  <si>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</si>
  <si>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</si>
  <si>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</si>
  <si>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</si>
  <si>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</si>
  <si>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</si>
  <si>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</si>
  <si>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</si>
  <si>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</si>
  <si>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</si>
  <si>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</si>
  <si>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</si>
  <si>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</si>
  <si>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</si>
  <si>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</si>
  <si>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</si>
  <si>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</si>
  <si>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</si>
  <si>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</si>
  <si>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</si>
  <si>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</si>
  <si>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</si>
  <si>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</si>
  <si>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</si>
  <si>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</si>
  <si>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</si>
  <si>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</si>
  <si>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</si>
  <si>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</si>
  <si>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</si>
  <si>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</si>
  <si>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</si>
  <si>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</si>
  <si>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</si>
  <si>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</si>
  <si>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</si>
  <si>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</si>
  <si>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</si>
  <si>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</si>
  <si>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</si>
  <si>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</si>
  <si>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</si>
  <si>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</si>
  <si>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</si>
  <si>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</si>
  <si>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</si>
  <si>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</si>
  <si>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</si>
  <si>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</si>
  <si>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</si>
  <si>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</si>
  <si>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</si>
  <si>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</si>
  <si>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</si>
  <si>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</si>
  <si>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</si>
  <si>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</si>
  <si>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</si>
  <si>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</si>
  <si>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</si>
  <si>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</si>
  <si>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</si>
  <si>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</si>
  <si>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</si>
  <si>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</si>
  <si>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</si>
  <si>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</si>
  <si>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</si>
  <si>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</si>
  <si>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</si>
  <si>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</si>
  <si>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</si>
  <si>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</si>
  <si>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</si>
  <si>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</si>
  <si>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</si>
  <si>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</si>
  <si>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</si>
  <si>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</si>
  <si>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</si>
  <si>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</si>
  <si>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</si>
  <si>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</si>
  <si>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</si>
  <si>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</si>
  <si>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</si>
  <si>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</si>
  <si>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</si>
  <si>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</si>
  <si>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</si>
  <si>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</si>
  <si>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</si>
  <si>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</si>
  <si>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</si>
  <si>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</si>
  <si>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</si>
  <si>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</si>
  <si>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</si>
  <si>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</si>
  <si>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</si>
  <si>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</si>
  <si>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</si>
  <si>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</si>
  <si>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</si>
  <si>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</si>
  <si>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</si>
  <si>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</si>
  <si>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</si>
  <si>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</si>
  <si>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</si>
  <si>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</si>
  <si>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</si>
  <si>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</si>
  <si>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</si>
  <si>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</si>
  <si>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</si>
  <si>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</si>
  <si>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</si>
  <si>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</si>
  <si>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</si>
  <si>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</si>
  <si>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</si>
  <si>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</si>
  <si>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</si>
  <si>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</si>
  <si>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</si>
  <si>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</si>
  <si>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</si>
  <si>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</si>
  <si>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</si>
  <si>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</si>
  <si>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</si>
  <si>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</si>
  <si>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</si>
  <si>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</si>
  <si>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</si>
  <si>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</si>
  <si>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</si>
  <si>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</si>
  <si>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</si>
  <si>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</si>
  <si>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</si>
  <si>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</si>
  <si>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</si>
  <si>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</si>
  <si>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</si>
  <si>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</si>
  <si>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</si>
  <si>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</si>
  <si>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</si>
  <si>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</si>
  <si>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</si>
  <si>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</si>
  <si>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</si>
  <si>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</si>
  <si>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</si>
  <si>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</si>
  <si>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</si>
  <si>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</si>
  <si>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</si>
  <si>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</si>
  <si>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</si>
  <si>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</si>
  <si>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</si>
  <si>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</si>
  <si>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</si>
  <si>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</si>
  <si>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</si>
  <si>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</si>
  <si>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</si>
  <si>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</si>
  <si>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</si>
  <si>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</si>
  <si>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</si>
  <si>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</si>
  <si>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</si>
  <si>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</si>
  <si>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</si>
  <si>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</si>
  <si>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</si>
  <si>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</si>
  <si>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</si>
  <si>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</si>
  <si>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</si>
  <si>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</si>
  <si>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</si>
  <si>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</si>
  <si>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</si>
  <si>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</si>
  <si>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</si>
  <si>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</si>
  <si>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</si>
  <si>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</si>
  <si>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</si>
  <si>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</si>
  <si>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</si>
  <si>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</si>
  <si>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</si>
  <si>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</si>
  <si>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</si>
  <si>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</si>
  <si>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</si>
  <si>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</si>
  <si>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</si>
  <si>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</si>
  <si>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</si>
  <si>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</si>
  <si>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</si>
  <si>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</si>
  <si>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</si>
  <si>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</si>
  <si>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</si>
  <si>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</si>
  <si>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</si>
  <si>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</si>
  <si>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</si>
  <si>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</si>
  <si>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</si>
  <si>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</si>
  <si>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</si>
  <si>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</si>
  <si>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</si>
  <si>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</si>
  <si>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</si>
  <si>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</si>
  <si>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</si>
  <si>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</si>
  <si>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</si>
  <si>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</si>
  <si>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</si>
  <si>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</si>
  <si>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</si>
  <si>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</si>
  <si>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</si>
  <si>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</si>
  <si>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</si>
  <si>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</si>
  <si>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</si>
  <si>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</si>
  <si>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</si>
  <si>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</si>
  <si>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</si>
  <si>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</si>
  <si>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</si>
  <si>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</si>
  <si>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</si>
  <si>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</si>
  <si>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</si>
  <si>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</si>
  <si>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</si>
  <si>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</si>
  <si>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</si>
  <si>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</si>
  <si>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</si>
  <si>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</si>
  <si>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</si>
  <si>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</si>
  <si>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</si>
  <si>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</si>
  <si>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</si>
  <si>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</si>
  <si>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</si>
  <si>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</si>
  <si>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</si>
  <si>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</si>
  <si>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</si>
  <si>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</si>
  <si>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</si>
  <si>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</si>
  <si>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</si>
  <si>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</si>
  <si>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</si>
  <si>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</si>
  <si>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</si>
  <si>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</si>
  <si>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</si>
  <si>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</si>
  <si>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</si>
  <si>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</si>
  <si>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</si>
  <si>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</si>
  <si>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</si>
  <si>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</si>
  <si>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</si>
  <si>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</si>
  <si>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</si>
  <si>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</si>
  <si>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</si>
  <si>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</si>
  <si>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</si>
  <si>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</si>
  <si>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</si>
  <si>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</si>
  <si>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</si>
  <si>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</si>
  <si>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</si>
  <si>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</si>
  <si>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</si>
  <si>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</si>
  <si>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</si>
  <si>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</si>
  <si>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</si>
  <si>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</si>
  <si>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</si>
  <si>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</si>
  <si>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</si>
  <si>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</si>
  <si>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</si>
  <si>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</si>
  <si>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</si>
  <si>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</si>
  <si>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</si>
  <si>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</si>
  <si>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</si>
  <si>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</si>
  <si>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</si>
  <si>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</si>
  <si>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</si>
  <si>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</si>
  <si>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</si>
  <si>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</si>
  <si>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</si>
  <si>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</si>
  <si>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</si>
  <si>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</si>
  <si>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</si>
  <si>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</si>
  <si>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</si>
  <si>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</si>
  <si>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</si>
  <si>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</si>
  <si>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</si>
  <si>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</si>
  <si>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</si>
  <si>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</si>
  <si>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</si>
  <si>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</si>
  <si>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</si>
  <si>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</si>
  <si>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</si>
  <si>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</si>
  <si>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</si>
  <si>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</si>
  <si>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</si>
  <si>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</si>
  <si>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</si>
  <si>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</si>
  <si>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</si>
  <si>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</si>
  <si>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</si>
  <si>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</si>
  <si>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</si>
  <si>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</si>
  <si>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</si>
  <si>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</si>
  <si>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</si>
  <si>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</si>
  <si>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</si>
  <si>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</si>
  <si>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</si>
  <si>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</si>
  <si>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</si>
  <si>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</si>
  <si>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</si>
  <si>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</si>
  <si>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</si>
  <si>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</si>
  <si>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</si>
  <si>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</si>
  <si>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</si>
  <si>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</si>
  <si>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</si>
  <si>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</si>
  <si>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</si>
  <si>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</si>
  <si>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</si>
  <si>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</si>
  <si>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</si>
  <si>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</si>
  <si>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</si>
  <si>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</si>
  <si>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</si>
  <si>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</si>
  <si>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</si>
  <si>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</si>
  <si>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</si>
  <si>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</si>
  <si>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</si>
  <si>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</si>
  <si>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</si>
  <si>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</si>
  <si>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</si>
  <si>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</si>
  <si>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</si>
  <si>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</si>
  <si>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</si>
  <si>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</si>
  <si>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</si>
  <si>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</si>
  <si>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</si>
  <si>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</si>
  <si>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</si>
  <si>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</si>
  <si>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</si>
  <si>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</si>
  <si>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</si>
  <si>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</si>
  <si>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</si>
  <si>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</si>
  <si>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</si>
  <si>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</si>
  <si>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</si>
  <si>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</si>
  <si>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</si>
  <si>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</si>
  <si>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</si>
  <si>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</si>
  <si>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</si>
  <si>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</si>
  <si>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</si>
  <si>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</si>
  <si>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</si>
  <si>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</si>
  <si>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</si>
  <si>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</si>
  <si>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</si>
  <si>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</si>
  <si>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</si>
  <si>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</si>
  <si>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</si>
  <si>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</si>
  <si>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</si>
  <si>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</si>
  <si>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</si>
  <si>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</si>
  <si>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</si>
  <si>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</si>
  <si>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</si>
  <si>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</si>
  <si>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</si>
  <si>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</si>
  <si>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</si>
  <si>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</si>
  <si>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</si>
  <si>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</si>
  <si>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</si>
  <si>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</si>
  <si>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</si>
  <si>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</si>
  <si>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</si>
  <si>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</si>
  <si>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</si>
  <si>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</si>
  <si>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</si>
  <si>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</si>
  <si>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</si>
  <si>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</si>
  <si>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</si>
  <si>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</si>
  <si>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</si>
  <si>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</si>
  <si>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</si>
  <si>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</si>
  <si>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</si>
  <si>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</si>
  <si>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</si>
  <si>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73028</t>
  </si>
  <si>
    <t>HERSTAPPE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</si>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</sst>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841.60265445250855</c:v>
                </c:pt>
                <c:pt idx="1">
                  <c:v>0</c:v>
                </c:pt>
                <c:pt idx="2">
                  <c:v>10.807</c:v>
                </c:pt>
                <c:pt idx="3">
                  <c:v>228.12875317426293</c:v>
                </c:pt>
                <c:pt idx="4">
                  <c:v>0</c:v>
                </c:pt>
                <c:pt idx="5">
                  <c:v>2841.1021660240881</c:v>
                </c:pt>
                <c:pt idx="6">
                  <c:v>15.324974045384119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54272"/>
        <c:axId val="156456064"/>
      </c:barChart>
      <c:catAx>
        <c:axId val="156454272"/>
        <c:scaling>
          <c:orientation val="minMax"/>
        </c:scaling>
        <c:axPos val="b"/>
        <c:numFmt formatCode="General" sourceLinked="0"/>
        <c:tickLblPos val="nextTo"/>
        <c:crossAx val="156456064"/>
        <c:crosses val="autoZero"/>
        <c:auto val="1"/>
        <c:lblAlgn val="ctr"/>
        <c:lblOffset val="100"/>
      </c:catAx>
      <c:valAx>
        <c:axId val="156456064"/>
        <c:scaling>
          <c:orientation val="minMax"/>
        </c:scaling>
        <c:axPos val="l"/>
        <c:majorGridlines/>
        <c:numFmt formatCode="#,##0" sourceLinked="1"/>
        <c:tickLblPos val="nextTo"/>
        <c:crossAx val="156454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841.60265445250855</c:v>
                </c:pt>
                <c:pt idx="1">
                  <c:v>0</c:v>
                </c:pt>
                <c:pt idx="2">
                  <c:v>10.807</c:v>
                </c:pt>
                <c:pt idx="3">
                  <c:v>228.12875317426293</c:v>
                </c:pt>
                <c:pt idx="4">
                  <c:v>0</c:v>
                </c:pt>
                <c:pt idx="5">
                  <c:v>2841.1021660240881</c:v>
                </c:pt>
                <c:pt idx="6">
                  <c:v>15.324974045384119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204.89761024052652</c:v>
                </c:pt>
                <c:pt idx="1">
                  <c:v>0</c:v>
                </c:pt>
                <c:pt idx="2">
                  <c:v>2.0770526144489709</c:v>
                </c:pt>
                <c:pt idx="3">
                  <c:v>58.203010281731423</c:v>
                </c:pt>
                <c:pt idx="4">
                  <c:v>0</c:v>
                </c:pt>
                <c:pt idx="5">
                  <c:v>710.27583055133698</c:v>
                </c:pt>
                <c:pt idx="6">
                  <c:v>3.8718633258459145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32352"/>
        <c:axId val="156946432"/>
      </c:barChart>
      <c:catAx>
        <c:axId val="156932352"/>
        <c:scaling>
          <c:orientation val="minMax"/>
        </c:scaling>
        <c:axPos val="b"/>
        <c:numFmt formatCode="General" sourceLinked="0"/>
        <c:tickLblPos val="nextTo"/>
        <c:crossAx val="156946432"/>
        <c:crosses val="autoZero"/>
        <c:auto val="1"/>
        <c:lblAlgn val="ctr"/>
        <c:lblOffset val="100"/>
      </c:catAx>
      <c:valAx>
        <c:axId val="156946432"/>
        <c:scaling>
          <c:orientation val="minMax"/>
        </c:scaling>
        <c:axPos val="l"/>
        <c:majorGridlines/>
        <c:numFmt formatCode="#,##0" sourceLinked="1"/>
        <c:tickLblPos val="nextTo"/>
        <c:crossAx val="15693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204.89761024052652</c:v>
                </c:pt>
                <c:pt idx="1">
                  <c:v>0</c:v>
                </c:pt>
                <c:pt idx="2">
                  <c:v>2.0770526144489709</c:v>
                </c:pt>
                <c:pt idx="3">
                  <c:v>58.203010281731423</c:v>
                </c:pt>
                <c:pt idx="4">
                  <c:v>0</c:v>
                </c:pt>
                <c:pt idx="5">
                  <c:v>710.27583055133698</c:v>
                </c:pt>
                <c:pt idx="6">
                  <c:v>3.8718633258459145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73028</v>
      </c>
      <c r="B6" s="415"/>
      <c r="C6" s="416"/>
    </row>
    <row r="7" spans="1:7" s="413" customFormat="1" ht="15.75" customHeight="1">
      <c r="A7" s="417" t="str">
        <f>txtMunicipality</f>
        <v>HERSTAPPE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73028</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v>
      </c>
      <c r="C9" s="342">
        <v>34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116</v>
      </c>
    </row>
    <row r="15" spans="1:6">
      <c r="A15" s="348" t="s">
        <v>184</v>
      </c>
      <c r="B15" s="334">
        <v>0</v>
      </c>
    </row>
    <row r="16" spans="1:6">
      <c r="A16" s="348" t="s">
        <v>6</v>
      </c>
      <c r="B16" s="334">
        <v>0</v>
      </c>
    </row>
    <row r="17" spans="1:6">
      <c r="A17" s="348" t="s">
        <v>7</v>
      </c>
      <c r="B17" s="334">
        <v>2</v>
      </c>
    </row>
    <row r="18" spans="1:6">
      <c r="A18" s="348" t="s">
        <v>8</v>
      </c>
      <c r="B18" s="334">
        <v>1</v>
      </c>
    </row>
    <row r="19" spans="1:6">
      <c r="A19" s="348" t="s">
        <v>9</v>
      </c>
      <c r="B19" s="334">
        <v>1</v>
      </c>
    </row>
    <row r="20" spans="1:6">
      <c r="A20" s="348" t="s">
        <v>10</v>
      </c>
      <c r="B20" s="334">
        <v>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5</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v>
      </c>
      <c r="D39" s="334">
        <v>252518</v>
      </c>
      <c r="E39" s="334">
        <v>31</v>
      </c>
      <c r="F39" s="334">
        <v>124631</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4</v>
      </c>
      <c r="F51" s="334">
        <v>42719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v>
      </c>
      <c r="F54" s="334">
        <v>10807</v>
      </c>
    </row>
    <row r="55" spans="1:6">
      <c r="A55" s="348" t="s">
        <v>46</v>
      </c>
      <c r="B55" s="348" t="s">
        <v>29</v>
      </c>
      <c r="C55" s="334">
        <v>0</v>
      </c>
      <c r="D55" s="334">
        <v>0</v>
      </c>
      <c r="E55" s="334">
        <v>0</v>
      </c>
      <c r="F55" s="334">
        <v>0</v>
      </c>
    </row>
    <row r="56" spans="1:6">
      <c r="A56" s="348" t="s">
        <v>48</v>
      </c>
      <c r="B56" s="348" t="s">
        <v>29</v>
      </c>
      <c r="C56" s="334">
        <v>2</v>
      </c>
      <c r="D56" s="334">
        <v>49215</v>
      </c>
      <c r="E56" s="334">
        <v>4</v>
      </c>
      <c r="F56" s="334">
        <v>33508</v>
      </c>
    </row>
    <row r="57" spans="1:6">
      <c r="A57" s="348" t="s">
        <v>49</v>
      </c>
      <c r="B57" s="348" t="s">
        <v>50</v>
      </c>
      <c r="C57" s="334">
        <v>0</v>
      </c>
      <c r="D57" s="334">
        <v>0</v>
      </c>
      <c r="E57" s="334">
        <v>0</v>
      </c>
      <c r="F57" s="334">
        <v>0</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0</v>
      </c>
      <c r="F61" s="334">
        <v>0</v>
      </c>
    </row>
    <row r="62" spans="1:6">
      <c r="A62" s="348" t="s">
        <v>49</v>
      </c>
      <c r="B62" s="348" t="s">
        <v>55</v>
      </c>
      <c r="C62" s="334">
        <v>0</v>
      </c>
      <c r="D62" s="334">
        <v>0</v>
      </c>
      <c r="E62" s="334">
        <v>0</v>
      </c>
      <c r="F62" s="334">
        <v>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3083136</v>
      </c>
      <c r="E73" s="476">
        <v>3131831.7077630996</v>
      </c>
    </row>
    <row r="74" spans="1:6">
      <c r="A74" s="348" t="s">
        <v>64</v>
      </c>
      <c r="B74" s="348" t="s">
        <v>657</v>
      </c>
      <c r="C74" s="1213" t="s">
        <v>659</v>
      </c>
      <c r="D74" s="476">
        <v>173473.8054581726</v>
      </c>
      <c r="E74" s="476">
        <v>178508.64880544622</v>
      </c>
    </row>
    <row r="75" spans="1:6">
      <c r="A75" s="348" t="s">
        <v>65</v>
      </c>
      <c r="B75" s="348" t="s">
        <v>656</v>
      </c>
      <c r="C75" s="1213" t="s">
        <v>660</v>
      </c>
      <c r="D75" s="476">
        <v>593481</v>
      </c>
      <c r="E75" s="476">
        <v>602854.802153436</v>
      </c>
    </row>
    <row r="76" spans="1:6">
      <c r="A76" s="348" t="s">
        <v>65</v>
      </c>
      <c r="B76" s="348" t="s">
        <v>657</v>
      </c>
      <c r="C76" s="1213" t="s">
        <v>661</v>
      </c>
      <c r="D76" s="476">
        <v>5631.8054581725901</v>
      </c>
      <c r="E76" s="476">
        <v>5847.0225592570805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4156.3890836548189</v>
      </c>
      <c r="C83" s="476">
        <v>4250.1111920787007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26.917723496474565</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v>
      </c>
    </row>
    <row r="98" spans="1:6">
      <c r="A98" s="348" t="s">
        <v>72</v>
      </c>
      <c r="B98" s="334">
        <v>1</v>
      </c>
    </row>
    <row r="99" spans="1:6">
      <c r="A99" s="348" t="s">
        <v>73</v>
      </c>
      <c r="B99" s="334">
        <v>0</v>
      </c>
    </row>
    <row r="100" spans="1:6">
      <c r="A100" s="348" t="s">
        <v>74</v>
      </c>
      <c r="B100" s="334">
        <v>3</v>
      </c>
    </row>
    <row r="101" spans="1:6">
      <c r="A101" s="348" t="s">
        <v>75</v>
      </c>
      <c r="B101" s="334">
        <v>0</v>
      </c>
    </row>
    <row r="102" spans="1:6">
      <c r="A102" s="348" t="s">
        <v>76</v>
      </c>
      <c r="B102" s="334">
        <v>1</v>
      </c>
    </row>
    <row r="103" spans="1:6">
      <c r="A103" s="348" t="s">
        <v>77</v>
      </c>
      <c r="B103" s="334">
        <v>3</v>
      </c>
    </row>
    <row r="104" spans="1:6">
      <c r="A104" s="348" t="s">
        <v>78</v>
      </c>
      <c r="B104" s="334">
        <v>22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206.52111680663734</v>
      </c>
      <c r="C3" s="43" t="s">
        <v>170</v>
      </c>
      <c r="D3" s="43"/>
      <c r="E3" s="154"/>
      <c r="F3" s="43"/>
      <c r="G3" s="43"/>
      <c r="H3" s="43"/>
      <c r="I3" s="43"/>
      <c r="J3" s="43"/>
      <c r="K3" s="96"/>
    </row>
    <row r="4" spans="1:11">
      <c r="A4" s="383" t="s">
        <v>171</v>
      </c>
      <c r="B4" s="49">
        <f>IF(ISERROR('SEAP template'!B69),0,'SEAP template'!B69)</f>
        <v>26.917723496474565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0.192195115614784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0.192195115614784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2.0770526144489709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124.631</v>
      </c>
      <c r="C5" s="17">
        <f>IF(ISERROR('Eigen informatie GS &amp; warmtenet'!B57),0,'Eigen informatie GS &amp; warmtenet'!B57)</f>
        <v>0</v>
      </c>
      <c r="D5" s="30">
        <f>(SUM(HH_hh_gas_kWh,HH_rest_gas_kWh)/1000)*0.902</f>
        <v>227.77123600000002</v>
      </c>
      <c r="E5" s="17">
        <f>B46*B57</f>
        <v>0</v>
      </c>
      <c r="F5" s="17">
        <f>B51*B62</f>
        <v>383.14664229410738</v>
      </c>
      <c r="G5" s="18"/>
      <c r="H5" s="17"/>
      <c r="I5" s="17"/>
      <c r="J5" s="17">
        <f>B50*B61+C50*C61</f>
        <v>77.572719328593166</v>
      </c>
      <c r="K5" s="17"/>
      <c r="L5" s="17"/>
      <c r="M5" s="17"/>
      <c r="N5" s="17">
        <f>B48*B59+C48*C59</f>
        <v>0</v>
      </c>
      <c r="O5" s="17">
        <f>B69*B70*B71</f>
        <v>1.5633333333333335</v>
      </c>
      <c r="P5" s="17">
        <f>B77*B78*B79/1000-B77*B78*B79/1000/B80</f>
        <v>0</v>
      </c>
    </row>
    <row r="6" spans="1:16">
      <c r="A6" s="16" t="s">
        <v>621</v>
      </c>
      <c r="B6" s="843">
        <f>kWh_PV_kleiner_dan_10kW</f>
        <v>26.917723496474565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151.54872349647457</v>
      </c>
      <c r="C8" s="21">
        <f>C5</f>
        <v>0</v>
      </c>
      <c r="D8" s="21">
        <f>D5</f>
        <v>227.77123600000002</v>
      </c>
      <c r="E8" s="21">
        <f>E5</f>
        <v>0</v>
      </c>
      <c r="F8" s="21">
        <f>F5</f>
        <v>383.14664229410738</v>
      </c>
      <c r="G8" s="21"/>
      <c r="H8" s="21"/>
      <c r="I8" s="21"/>
      <c r="J8" s="21">
        <f>J5</f>
        <v>77.572719328593166</v>
      </c>
      <c r="K8" s="21"/>
      <c r="L8" s="21">
        <f>L5</f>
        <v>0</v>
      </c>
      <c r="M8" s="21">
        <f>M5</f>
        <v>0</v>
      </c>
      <c r="N8" s="21">
        <f>N5</f>
        <v>0</v>
      </c>
      <c r="O8" s="21">
        <f>O5</f>
        <v>1.5633333333333335</v>
      </c>
      <c r="P8" s="21">
        <f>P5</f>
        <v>0</v>
      </c>
    </row>
    <row r="9" spans="1:16">
      <c r="B9" s="19"/>
      <c r="C9" s="19"/>
      <c r="D9" s="258"/>
      <c r="E9" s="19"/>
      <c r="F9" s="19"/>
      <c r="G9" s="19"/>
      <c r="H9" s="19"/>
      <c r="I9" s="19"/>
      <c r="J9" s="19"/>
      <c r="K9" s="19"/>
      <c r="L9" s="19"/>
      <c r="M9" s="19"/>
      <c r="N9" s="19"/>
      <c r="O9" s="19"/>
      <c r="P9" s="19"/>
    </row>
    <row r="10" spans="1:16">
      <c r="A10" s="24" t="s">
        <v>214</v>
      </c>
      <c r="B10" s="25">
        <f ca="1">'EF ele_warmte'!B12</f>
        <v>0.192195115614784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29.126924433677861</v>
      </c>
      <c r="C12" s="23">
        <f ca="1">C10*C8</f>
        <v>0</v>
      </c>
      <c r="D12" s="23">
        <f>D8*D10</f>
        <v>46.009789672000004</v>
      </c>
      <c r="E12" s="23">
        <f>E10*E8</f>
        <v>0</v>
      </c>
      <c r="F12" s="23">
        <f>F10*F8</f>
        <v>102.30015349252668</v>
      </c>
      <c r="G12" s="23"/>
      <c r="H12" s="23"/>
      <c r="I12" s="23"/>
      <c r="J12" s="23">
        <f>J10*J8</f>
        <v>27.460742642321978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v>
      </c>
      <c r="C18" s="166" t="s">
        <v>111</v>
      </c>
      <c r="D18" s="228"/>
      <c r="E18" s="15"/>
    </row>
    <row r="19" spans="1:7">
      <c r="A19" s="171" t="s">
        <v>72</v>
      </c>
      <c r="B19" s="37">
        <f>aantalw2001_ander</f>
        <v>1</v>
      </c>
      <c r="C19" s="166" t="s">
        <v>111</v>
      </c>
      <c r="D19" s="229"/>
      <c r="E19" s="15"/>
    </row>
    <row r="20" spans="1:7">
      <c r="A20" s="171" t="s">
        <v>73</v>
      </c>
      <c r="B20" s="37">
        <f>aantalw2001_propaan</f>
        <v>0</v>
      </c>
      <c r="C20" s="167">
        <f>IF(ISERROR(B20/SUM($B$20,$B$21,$B$22)*100),0,B20/SUM($B$20,$B$21,$B$22)*100)</f>
        <v>0</v>
      </c>
      <c r="D20" s="229"/>
      <c r="E20" s="15"/>
    </row>
    <row r="21" spans="1:7">
      <c r="A21" s="171" t="s">
        <v>74</v>
      </c>
      <c r="B21" s="37">
        <f>aantalw2001_elektriciteit</f>
        <v>3</v>
      </c>
      <c r="C21" s="167">
        <f>IF(ISERROR(B21/SUM($B$20,$B$21,$B$22)*100),0,B21/SUM($B$20,$B$21,$B$22)*100)</f>
        <v>100</v>
      </c>
      <c r="D21" s="229"/>
      <c r="E21" s="15"/>
    </row>
    <row r="22" spans="1:7">
      <c r="A22" s="171" t="s">
        <v>75</v>
      </c>
      <c r="B22" s="37">
        <f>aantalw2001_hout</f>
        <v>0</v>
      </c>
      <c r="C22" s="167">
        <f>IF(ISERROR(B22/SUM($B$20,$B$21,$B$22)*100),0,B22/SUM($B$20,$B$21,$B$22)*100)</f>
        <v>0</v>
      </c>
      <c r="D22" s="229"/>
      <c r="E22" s="15"/>
    </row>
    <row r="23" spans="1:7">
      <c r="A23" s="171" t="s">
        <v>76</v>
      </c>
      <c r="B23" s="37">
        <f>aantalw2001_niet_gespec</f>
        <v>1</v>
      </c>
      <c r="C23" s="166" t="s">
        <v>111</v>
      </c>
      <c r="D23" s="228"/>
      <c r="E23" s="15"/>
    </row>
    <row r="24" spans="1:7">
      <c r="A24" s="171" t="s">
        <v>77</v>
      </c>
      <c r="B24" s="37">
        <f>aantalw2001_steenkool</f>
        <v>3</v>
      </c>
      <c r="C24" s="166" t="s">
        <v>111</v>
      </c>
      <c r="D24" s="229"/>
      <c r="E24" s="15"/>
    </row>
    <row r="25" spans="1:7">
      <c r="A25" s="171" t="s">
        <v>78</v>
      </c>
      <c r="B25" s="37">
        <f>aantalw2001_stookolie</f>
        <v>22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34</v>
      </c>
      <c r="C28" s="36"/>
      <c r="D28" s="228"/>
    </row>
    <row r="29" spans="1:7" s="15" customFormat="1">
      <c r="A29" s="230" t="s">
        <v>795</v>
      </c>
      <c r="B29" s="37">
        <f>SUM(HH_hh_gas_aantal,HH_rest_gas_aantal)</f>
        <v>12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v>
      </c>
      <c r="C32" s="167">
        <f>IF(ISERROR(B32/SUM($B$32,$B$34,$B$35,$B$36,$B$38,$B$39)*100),0,B32/SUM($B$32,$B$34,$B$35,$B$36,$B$38,$B$39)*100)</f>
        <v>35.294117647058826</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4.9999999999999991</v>
      </c>
      <c r="C35" s="167">
        <f>IF(ISERROR(B35/SUM($B$32,$B$34,$B$35,$B$36,$B$38,$B$39)*100),0,B35/SUM($B$32,$B$34,$B$35,$B$36,$B$38,$B$39)*100)</f>
        <v>14.705882352941174</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2.2000000000000002</v>
      </c>
      <c r="C38" s="167">
        <f>IF(ISERROR(B38/SUM($B$32,$B$34,$B$35,$B$36,$B$38,$B$39)*100),0,B38/SUM($B$32,$B$34,$B$35,$B$36,$B$38,$B$39)*100)</f>
        <v>6.4705882352941186</v>
      </c>
      <c r="D38" s="234"/>
      <c r="G38" s="15"/>
    </row>
    <row r="39" spans="1:7">
      <c r="A39" s="171" t="s">
        <v>78</v>
      </c>
      <c r="B39" s="33">
        <f>IF((B25-(B29-B18))&lt;0,0,B25-(B29-B18)*0.9)</f>
        <v>14.8</v>
      </c>
      <c r="C39" s="167">
        <f>IF(ISERROR(B39/SUM($B$32,$B$34,$B$35,$B$36,$B$38,$B$39)*100),0,B39/SUM($B$32,$B$34,$B$35,$B$36,$B$38,$B$39)*100)</f>
        <v>43.529411764705884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4.9999999999999991</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2.2000000000000002</v>
      </c>
      <c r="C50" s="33">
        <f>B50*2</f>
        <v>4.4000000000000004</v>
      </c>
      <c r="D50" s="234"/>
    </row>
    <row r="51" spans="1:6">
      <c r="A51" s="171" t="s">
        <v>78</v>
      </c>
      <c r="B51" s="33">
        <f t="shared" si="0"/>
        <v>14.8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0</v>
      </c>
      <c r="C5" s="17">
        <f>IF(ISERROR('Eigen informatie GS &amp; warmtenet'!B58),0,'Eigen informatie GS &amp; warmtenet'!B58)</f>
        <v>0</v>
      </c>
      <c r="D5" s="30">
        <f>SUM(D6:D12)</f>
        <v>0</v>
      </c>
      <c r="E5" s="17">
        <f>SUM(E6:E12)</f>
        <v>0</v>
      </c>
      <c r="F5" s="17">
        <f>SUM(F6:F12)</f>
        <v>0</v>
      </c>
      <c r="G5" s="18"/>
      <c r="H5" s="17"/>
      <c r="I5" s="17"/>
      <c r="J5" s="17">
        <f>SUM(J6:J12)</f>
        <v>0</v>
      </c>
      <c r="K5" s="17"/>
      <c r="L5" s="17"/>
      <c r="M5" s="17"/>
      <c r="N5" s="17">
        <f>SUM(N6:N12)</f>
        <v>0</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0</v>
      </c>
      <c r="C16" s="21">
        <f t="shared" ca="1" si="1"/>
        <v>0</v>
      </c>
      <c r="D16" s="21">
        <f t="shared" ca="1" si="1"/>
        <v>0</v>
      </c>
      <c r="E16" s="21">
        <f t="shared" si="1"/>
        <v>0</v>
      </c>
      <c r="F16" s="21">
        <f t="shared" ca="1" si="1"/>
        <v>0</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0.192195115614784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0</v>
      </c>
      <c r="C20" s="23">
        <f t="shared" ref="C20:P20" ca="1" si="2">C16*C18</f>
        <v>0</v>
      </c>
      <c r="D20" s="23">
        <f t="shared" ca="1" si="2"/>
        <v>0</v>
      </c>
      <c r="E20" s="23">
        <f t="shared" si="2"/>
        <v>0</v>
      </c>
      <c r="F20" s="23">
        <f t="shared" ca="1" si="2"/>
        <v>0</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0</v>
      </c>
      <c r="C26" s="39">
        <f>IF(ISERROR(B26*3.6/1000000/'E Balans VL '!Z12*100),0,B26*3.6/1000000/'E Balans VL '!Z12*100)</f>
        <v>0</v>
      </c>
      <c r="D26" s="237" t="s">
        <v>754</v>
      </c>
      <c r="F26" s="6"/>
    </row>
    <row r="27" spans="1:18">
      <c r="A27" s="231" t="s">
        <v>53</v>
      </c>
      <c r="B27" s="33">
        <f>IF(ISERROR(TER_horeca_ele_kWh/1000),0,TER_horeca_ele_kWh/1000)</f>
        <v>0</v>
      </c>
      <c r="C27" s="39">
        <f>IF(ISERROR(B27*3.6/1000000/'E Balans VL '!Z9*100),0,B27*3.6/1000000/'E Balans VL '!Z9*100)</f>
        <v>0</v>
      </c>
      <c r="D27" s="237" t="s">
        <v>754</v>
      </c>
      <c r="F27" s="6"/>
    </row>
    <row r="28" spans="1:18">
      <c r="A28" s="171" t="s">
        <v>52</v>
      </c>
      <c r="B28" s="33">
        <f>IF(ISERROR(TER_handel_ele_kWh/1000),0,TER_handel_ele_kWh/1000)</f>
        <v>0</v>
      </c>
      <c r="C28" s="39">
        <f>IF(ISERROR(B28*3.6/1000000/'E Balans VL '!Z13*100),0,B28*3.6/1000000/'E Balans VL '!Z13*100)</f>
        <v>0</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0</v>
      </c>
      <c r="C30" s="39">
        <f>IF(ISERROR(B30*3.6/1000000/'E Balans VL '!Z14*100),0,B30*3.6/1000000/'E Balans VL '!Z14*100)</f>
        <v>0</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0</v>
      </c>
      <c r="C5" s="17">
        <f>IF(ISERROR('Eigen informatie GS &amp; warmtenet'!B59),0,'Eigen informatie GS &amp; warmtenet'!B59)</f>
        <v>0</v>
      </c>
      <c r="D5" s="30">
        <f>SUM(D6:D15)</f>
        <v>0</v>
      </c>
      <c r="E5" s="17">
        <f>SUM(E6:E15)</f>
        <v>0</v>
      </c>
      <c r="F5" s="17">
        <f>SUM(F6:F15)</f>
        <v>0</v>
      </c>
      <c r="G5" s="18"/>
      <c r="H5" s="17"/>
      <c r="I5" s="17"/>
      <c r="J5" s="17">
        <f>SUM(J6:J15)</f>
        <v>0</v>
      </c>
      <c r="K5" s="17"/>
      <c r="L5" s="17"/>
      <c r="M5" s="17"/>
      <c r="N5" s="17">
        <f>SUM(N6:N15)</f>
        <v>0</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0</v>
      </c>
      <c r="C18" s="21">
        <f>C5+C16</f>
        <v>0</v>
      </c>
      <c r="D18" s="21">
        <f>MAX((D5+D16),0)</f>
        <v>0</v>
      </c>
      <c r="E18" s="21">
        <f>MAX((E5+E16),0)</f>
        <v>0</v>
      </c>
      <c r="F18" s="21">
        <f>MAX((F5+F16),0)</f>
        <v>0</v>
      </c>
      <c r="G18" s="21"/>
      <c r="H18" s="21"/>
      <c r="I18" s="21"/>
      <c r="J18" s="21">
        <f>MAX((J5+J16),0)</f>
        <v>0</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0.192195115614784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0</v>
      </c>
      <c r="C22" s="23">
        <f ca="1">C18*C20</f>
        <v>0</v>
      </c>
      <c r="D22" s="23">
        <f>D18*D20</f>
        <v>0</v>
      </c>
      <c r="E22" s="23">
        <f>E18*E20</f>
        <v>0</v>
      </c>
      <c r="F22" s="23">
        <f>F18*F20</f>
        <v>0</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0</v>
      </c>
      <c r="C31" s="39">
        <f>IF(ISERROR(B31*3.6/1000000/'E Balans VL '!Z19*100),0,B31*3.6/1000000/'E Balans VL '!Z19*100)</f>
        <v>0</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42.719000000000001</v>
      </c>
      <c r="C5" s="17">
        <f>'Eigen informatie GS &amp; warmtenet'!B60</f>
        <v>0</v>
      </c>
      <c r="D5" s="30">
        <f>IF(ISERROR(SUM(LB_lb_gas_kWh,LB_rest_gas_kWh,onbekend_gas_kWh)/1000),0,SUM(LB_lb_gas_kWh,LB_rest_gas_kWh,onbekend_gas_kWh)/1000)*0.902</f>
        <v>0</v>
      </c>
      <c r="E5" s="17">
        <f>B17*'E Balans VL '!I25/3.6*1000000/100</f>
        <v>1.2556418888860683</v>
      </c>
      <c r="F5" s="17">
        <f>B17*('E Balans VL '!L25/3.6*1000000+'E Balans VL '!N25/3.6*1000000)/100</f>
        <v>177.96504558640325</v>
      </c>
      <c r="G5" s="18"/>
      <c r="H5" s="17"/>
      <c r="I5" s="17"/>
      <c r="J5" s="17">
        <f>('E Balans VL '!D25+'E Balans VL '!E25)/3.6*1000000*landbouw!B17/100</f>
        <v>6.1890656989736135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42.719000000000001</v>
      </c>
      <c r="C8" s="21">
        <f>C5+C6</f>
        <v>0</v>
      </c>
      <c r="D8" s="21">
        <f>MAX((D5+D6),0)</f>
        <v>0</v>
      </c>
      <c r="E8" s="21">
        <f>MAX((E5+E6),0)</f>
        <v>1.2556418888860683</v>
      </c>
      <c r="F8" s="21">
        <f>MAX((F5+F6),0)</f>
        <v>177.96504558640325</v>
      </c>
      <c r="G8" s="21"/>
      <c r="H8" s="21"/>
      <c r="I8" s="21"/>
      <c r="J8" s="21">
        <f>MAX((J5+J6),0)</f>
        <v>6.1890656989736135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0.192195115614784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8.2103831439479578</v>
      </c>
      <c r="C12" s="23">
        <f ca="1">C8*C10</f>
        <v>0</v>
      </c>
      <c r="D12" s="23">
        <f>D8*D10</f>
        <v>0</v>
      </c>
      <c r="E12" s="23">
        <f>E8*E10</f>
        <v>0.28503070877713754</v>
      </c>
      <c r="F12" s="23">
        <f>F8*F10</f>
        <v>47.516667171569672</v>
      </c>
      <c r="G12" s="23"/>
      <c r="H12" s="23"/>
      <c r="I12" s="23"/>
      <c r="J12" s="23">
        <f>J8*J10</f>
        <v>2.1909292574366592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6.0619601267750999E-3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0.40582756297638944</v>
      </c>
      <c r="C26" s="247">
        <f>B26*'GWP N2O_CH4'!B5</f>
        <v>8.5223788225041783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2.3253797856975355E-2</v>
      </c>
      <c r="C27" s="247">
        <f>B27*'GWP N2O_CH4'!B5</f>
        <v>0.48832975499648246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4.9117956178921611E-3</v>
      </c>
      <c r="C28" s="247">
        <f>B28*'GWP N2O_CH4'!B4</f>
        <v>1.5226566415465699</v>
      </c>
      <c r="D28" s="50"/>
    </row>
    <row r="29" spans="1:4">
      <c r="A29" s="41" t="s">
        <v>277</v>
      </c>
      <c r="B29" s="247">
        <f>B34*'ha_N2O bodem landbouw'!B4</f>
        <v>0.75472388466223306</v>
      </c>
      <c r="C29" s="247">
        <f>B29*'GWP N2O_CH4'!B4</f>
        <v>233.96440424529226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1.7222538958570885E-4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5.2070159165860807E-6</v>
      </c>
      <c r="C5" s="463" t="s">
        <v>211</v>
      </c>
      <c r="D5" s="448">
        <f>SUM(D6:D11)</f>
        <v>1.7579482556045594E-5</v>
      </c>
      <c r="E5" s="448">
        <f>SUM(E6:E11)</f>
        <v>2.3563636871818457E-5</v>
      </c>
      <c r="F5" s="461" t="s">
        <v>211</v>
      </c>
      <c r="G5" s="448">
        <f>SUM(G6:G11)</f>
        <v>7.6882628284565772E-3</v>
      </c>
      <c r="H5" s="448">
        <f>SUM(H6:H11)</f>
        <v>1.9852451835927188E-3</v>
      </c>
      <c r="I5" s="463" t="s">
        <v>211</v>
      </c>
      <c r="J5" s="463" t="s">
        <v>211</v>
      </c>
      <c r="K5" s="463" t="s">
        <v>211</v>
      </c>
      <c r="L5" s="463" t="s">
        <v>211</v>
      </c>
      <c r="M5" s="448">
        <f>SUM(M6:M11)</f>
        <v>5.0810965029297103E-4</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4.366497305811169E-6</v>
      </c>
      <c r="C6" s="449"/>
      <c r="D6" s="962">
        <f>vkm_2011_GW_PW*SUMIFS(TableVerdeelsleutelVkm[CNG],TableVerdeelsleutelVkm[Voertuigtype],"Lichte voertuigen")*SUMIFS(TableECFTransport[EnergieConsumptieFactor (PJ per km)],TableECFTransport[Index],CONCATENATE($A6,"_CNG_CNG"))</f>
        <v>1.3096985775941075E-5</v>
      </c>
      <c r="E6" s="962">
        <f>vkm_2011_GW_PW*SUMIFS(TableVerdeelsleutelVkm[LPG],TableVerdeelsleutelVkm[Voertuigtype],"Lichte voertuigen")*SUMIFS(TableECFTransport[EnergieConsumptieFactor (PJ per km)],TableECFTransport[Index],CONCATENATE($A6,"_LPG_LPG"))</f>
        <v>1.7892363859228044E-5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4.6261450952889745E-3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1.4893708851418546E-3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3.1448465620190555E-4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1.6278867058295873E-3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4.9606000990721759E-7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9.5128293689883747E-5</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8.405186107749118E-7</v>
      </c>
      <c r="C8" s="449"/>
      <c r="D8" s="451">
        <f>vkm_2011_NGW_PW*SUMIFS(TableVerdeelsleutelVkm[CNG],TableVerdeelsleutelVkm[Voertuigtype],"Lichte voertuigen")*SUMIFS(TableECFTransport[EnergieConsumptieFactor (PJ per km)],TableECFTransport[Index],CONCATENATE($A8,"_CNG_CNG"))</f>
        <v>4.4824967801045201E-6</v>
      </c>
      <c r="E8" s="451">
        <f>vkm_2011_NGW_PW*SUMIFS(TableVerdeelsleutelVkm[LPG],TableVerdeelsleutelVkm[Voertuigtype],"Lichte voertuigen")*SUMIFS(TableECFTransport[EnergieConsumptieFactor (PJ per km)],TableECFTransport[Index],CONCATENATE($A8,"_LPG_LPG"))</f>
        <v>5.6712730125904118E-6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1.3664655520389333E-3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4.953587983191547E-4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9.4536746935174198E-5</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6.7765475299081356E-5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1.944012180237507E-8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3.9599534660075621E-6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1.4463933101628001</v>
      </c>
      <c r="C14" s="21"/>
      <c r="D14" s="21">
        <f t="shared" ref="D14:M14" si="0">((D5)*10^9/3600)+D12</f>
        <v>4.8831895989015539</v>
      </c>
      <c r="E14" s="21">
        <f t="shared" si="0"/>
        <v>6.545454686616238</v>
      </c>
      <c r="F14" s="21"/>
      <c r="G14" s="21">
        <f t="shared" si="0"/>
        <v>2135.6285634601604</v>
      </c>
      <c r="H14" s="21">
        <f t="shared" si="0"/>
        <v>551.45699544242188</v>
      </c>
      <c r="I14" s="21"/>
      <c r="J14" s="21"/>
      <c r="K14" s="21"/>
      <c r="L14" s="21"/>
      <c r="M14" s="21">
        <f t="shared" si="0"/>
        <v>141.14156952582528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0.192195115614784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0.2779897294711895</v>
      </c>
      <c r="C18" s="23"/>
      <c r="D18" s="23">
        <f t="shared" ref="D18:M18" si="1">D14*D16</f>
        <v>0.98640429897811399</v>
      </c>
      <c r="E18" s="23">
        <f t="shared" si="1"/>
        <v>1.4858182138618861</v>
      </c>
      <c r="F18" s="23"/>
      <c r="G18" s="23">
        <f t="shared" si="1"/>
        <v>570.21282644386281</v>
      </c>
      <c r="H18" s="23">
        <f t="shared" si="1"/>
        <v>137.31279186516304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5.2204898775450532E-5</v>
      </c>
      <c r="H50" s="321">
        <f t="shared" si="2"/>
        <v>0</v>
      </c>
      <c r="I50" s="321">
        <f t="shared" si="2"/>
        <v>0</v>
      </c>
      <c r="J50" s="321">
        <f t="shared" si="2"/>
        <v>0</v>
      </c>
      <c r="K50" s="321">
        <f t="shared" si="2"/>
        <v>0</v>
      </c>
      <c r="L50" s="321">
        <f t="shared" si="2"/>
        <v>0</v>
      </c>
      <c r="M50" s="321">
        <f t="shared" si="2"/>
        <v>2.9650077879322974E-6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5.2204898775450532E-5</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2.9650077879322974E-6</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14.501360770958481</v>
      </c>
      <c r="H54" s="21">
        <f t="shared" si="3"/>
        <v>0</v>
      </c>
      <c r="I54" s="21">
        <f t="shared" si="3"/>
        <v>0</v>
      </c>
      <c r="J54" s="21">
        <f t="shared" si="3"/>
        <v>0</v>
      </c>
      <c r="K54" s="21">
        <f t="shared" si="3"/>
        <v>0</v>
      </c>
      <c r="L54" s="21">
        <f t="shared" si="3"/>
        <v>0</v>
      </c>
      <c r="M54" s="21">
        <f t="shared" si="3"/>
        <v>0.82361327442563825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0.192195115614784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3.8718633258459145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26.917723496474565</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26.917723496474565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10.807</v>
      </c>
      <c r="D10" s="718">
        <f ca="1">tertiair!C16</f>
        <v>0</v>
      </c>
      <c r="E10" s="718">
        <f ca="1">tertiair!D16</f>
        <v>0</v>
      </c>
      <c r="F10" s="718">
        <f>tertiair!E16</f>
        <v>0</v>
      </c>
      <c r="G10" s="718">
        <f ca="1">tertiair!F16</f>
        <v>0</v>
      </c>
      <c r="H10" s="718">
        <f>tertiair!G16</f>
        <v>0</v>
      </c>
      <c r="I10" s="718">
        <f>tertiair!H16</f>
        <v>0</v>
      </c>
      <c r="J10" s="718">
        <f>tertiair!I16</f>
        <v>0</v>
      </c>
      <c r="K10" s="718">
        <f>tertiair!J16</f>
        <v>0</v>
      </c>
      <c r="L10" s="718">
        <f>tertiair!K16</f>
        <v>0</v>
      </c>
      <c r="M10" s="718">
        <f ca="1">tertiair!L16</f>
        <v>0</v>
      </c>
      <c r="N10" s="718">
        <f>tertiair!M16</f>
        <v>0</v>
      </c>
      <c r="O10" s="718">
        <f ca="1">tertiair!N16</f>
        <v>0</v>
      </c>
      <c r="P10" s="718">
        <f>tertiair!O16</f>
        <v>0</v>
      </c>
      <c r="Q10" s="719">
        <f>tertiair!P16</f>
        <v>0</v>
      </c>
      <c r="R10" s="721">
        <f ca="1">SUM(C10:Q10)</f>
        <v>10.807</v>
      </c>
      <c r="S10" s="67"/>
    </row>
    <row r="11" spans="1:19" s="474" customFormat="1">
      <c r="A11" s="870" t="s">
        <v>225</v>
      </c>
      <c r="B11" s="875"/>
      <c r="C11" s="718">
        <f>huishoudens!B8</f>
        <v>151.54872349647457</v>
      </c>
      <c r="D11" s="718">
        <f>huishoudens!C8</f>
        <v>0</v>
      </c>
      <c r="E11" s="718">
        <f>huishoudens!D8</f>
        <v>227.77123600000002</v>
      </c>
      <c r="F11" s="718">
        <f>huishoudens!E8</f>
        <v>0</v>
      </c>
      <c r="G11" s="718">
        <f>huishoudens!F8</f>
        <v>383.14664229410738</v>
      </c>
      <c r="H11" s="718">
        <f>huishoudens!G8</f>
        <v>0</v>
      </c>
      <c r="I11" s="718">
        <f>huishoudens!H8</f>
        <v>0</v>
      </c>
      <c r="J11" s="718">
        <f>huishoudens!I8</f>
        <v>0</v>
      </c>
      <c r="K11" s="718">
        <f>huishoudens!J8</f>
        <v>77.572719328593166</v>
      </c>
      <c r="L11" s="718">
        <f>huishoudens!K8</f>
        <v>0</v>
      </c>
      <c r="M11" s="718">
        <f>huishoudens!L8</f>
        <v>0</v>
      </c>
      <c r="N11" s="718">
        <f>huishoudens!M8</f>
        <v>0</v>
      </c>
      <c r="O11" s="718">
        <f>huishoudens!N8</f>
        <v>0</v>
      </c>
      <c r="P11" s="718">
        <f>huishoudens!O8</f>
        <v>1.5633333333333335</v>
      </c>
      <c r="Q11" s="719">
        <f>huishoudens!P8</f>
        <v>0</v>
      </c>
      <c r="R11" s="721">
        <f>SUM(C11:Q11)</f>
        <v>841.60265445250855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0</v>
      </c>
      <c r="D13" s="718">
        <f>industrie!C18</f>
        <v>0</v>
      </c>
      <c r="E13" s="718">
        <f>industrie!D18</f>
        <v>0</v>
      </c>
      <c r="F13" s="718">
        <f>industrie!E18</f>
        <v>0</v>
      </c>
      <c r="G13" s="718">
        <f>industrie!F18</f>
        <v>0</v>
      </c>
      <c r="H13" s="718">
        <f>industrie!G18</f>
        <v>0</v>
      </c>
      <c r="I13" s="718">
        <f>industrie!H18</f>
        <v>0</v>
      </c>
      <c r="J13" s="718">
        <f>industrie!I18</f>
        <v>0</v>
      </c>
      <c r="K13" s="718">
        <f>industrie!J18</f>
        <v>0</v>
      </c>
      <c r="L13" s="718">
        <f>industrie!K18</f>
        <v>0</v>
      </c>
      <c r="M13" s="718">
        <f>industrie!L18</f>
        <v>0</v>
      </c>
      <c r="N13" s="718">
        <f>industrie!M18</f>
        <v>0</v>
      </c>
      <c r="O13" s="718">
        <f>industrie!N18</f>
        <v>0</v>
      </c>
      <c r="P13" s="718">
        <f>industrie!O18</f>
        <v>0</v>
      </c>
      <c r="Q13" s="719">
        <f>industrie!P18</f>
        <v>0</v>
      </c>
      <c r="R13" s="721">
        <f>SUM(C13:Q13)</f>
        <v>0</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162.35572349647455</v>
      </c>
      <c r="D15" s="723">
        <f t="shared" ref="D15:Q15" ca="1" si="0">SUM(D9:D14)</f>
        <v>0</v>
      </c>
      <c r="E15" s="723">
        <f t="shared" ca="1" si="0"/>
        <v>227.77123600000002</v>
      </c>
      <c r="F15" s="723">
        <f t="shared" si="0"/>
        <v>0</v>
      </c>
      <c r="G15" s="723">
        <f t="shared" ca="1" si="0"/>
        <v>383.14664229410738</v>
      </c>
      <c r="H15" s="723">
        <f t="shared" si="0"/>
        <v>0</v>
      </c>
      <c r="I15" s="723">
        <f t="shared" si="0"/>
        <v>0</v>
      </c>
      <c r="J15" s="723">
        <f t="shared" si="0"/>
        <v>0</v>
      </c>
      <c r="K15" s="723">
        <f t="shared" si="0"/>
        <v>77.572719328593166</v>
      </c>
      <c r="L15" s="723">
        <f t="shared" si="0"/>
        <v>0</v>
      </c>
      <c r="M15" s="723">
        <f t="shared" ca="1" si="0"/>
        <v>0</v>
      </c>
      <c r="N15" s="723">
        <f t="shared" si="0"/>
        <v>0</v>
      </c>
      <c r="O15" s="723">
        <f t="shared" ca="1" si="0"/>
        <v>0</v>
      </c>
      <c r="P15" s="723">
        <f t="shared" si="0"/>
        <v>1.5633333333333335</v>
      </c>
      <c r="Q15" s="724">
        <f t="shared" si="0"/>
        <v>0</v>
      </c>
      <c r="R15" s="725">
        <f ca="1">SUM(R9:R14)</f>
        <v>852.40965445250856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14.501360770958481</v>
      </c>
      <c r="I18" s="718">
        <f>transport!H54</f>
        <v>0</v>
      </c>
      <c r="J18" s="718">
        <f>transport!I54</f>
        <v>0</v>
      </c>
      <c r="K18" s="718">
        <f>transport!J54</f>
        <v>0</v>
      </c>
      <c r="L18" s="718">
        <f>transport!K54</f>
        <v>0</v>
      </c>
      <c r="M18" s="718">
        <f>transport!L54</f>
        <v>0</v>
      </c>
      <c r="N18" s="718">
        <f>transport!M54</f>
        <v>0.82361327442563825</v>
      </c>
      <c r="O18" s="718">
        <f>transport!N54</f>
        <v>0</v>
      </c>
      <c r="P18" s="718">
        <f>transport!O54</f>
        <v>0</v>
      </c>
      <c r="Q18" s="719">
        <f>transport!P54</f>
        <v>0</v>
      </c>
      <c r="R18" s="721">
        <f>SUM(C18:Q18)</f>
        <v>15.324974045384119</v>
      </c>
      <c r="S18" s="67"/>
    </row>
    <row r="19" spans="1:19" s="474" customFormat="1" ht="15" thickBot="1">
      <c r="A19" s="870" t="s">
        <v>307</v>
      </c>
      <c r="B19" s="875"/>
      <c r="C19" s="727">
        <f>transport!B14</f>
        <v>1.4463933101628001</v>
      </c>
      <c r="D19" s="727">
        <f>transport!C14</f>
        <v>0</v>
      </c>
      <c r="E19" s="727">
        <f>transport!D14</f>
        <v>4.8831895989015539</v>
      </c>
      <c r="F19" s="727">
        <f>transport!E14</f>
        <v>6.545454686616238</v>
      </c>
      <c r="G19" s="727">
        <f>transport!F14</f>
        <v>0</v>
      </c>
      <c r="H19" s="727">
        <f>transport!G14</f>
        <v>2135.6285634601604</v>
      </c>
      <c r="I19" s="727">
        <f>transport!H14</f>
        <v>551.45699544242188</v>
      </c>
      <c r="J19" s="727">
        <f>transport!I14</f>
        <v>0</v>
      </c>
      <c r="K19" s="727">
        <f>transport!J14</f>
        <v>0</v>
      </c>
      <c r="L19" s="727">
        <f>transport!K14</f>
        <v>0</v>
      </c>
      <c r="M19" s="727">
        <f>transport!L14</f>
        <v>0</v>
      </c>
      <c r="N19" s="727">
        <f>transport!M14</f>
        <v>141.14156952582528</v>
      </c>
      <c r="O19" s="727">
        <f>transport!N14</f>
        <v>0</v>
      </c>
      <c r="P19" s="727">
        <f>transport!O14</f>
        <v>0</v>
      </c>
      <c r="Q19" s="728">
        <f>transport!P14</f>
        <v>0</v>
      </c>
      <c r="R19" s="729">
        <f>SUM(C19:Q19)</f>
        <v>2841.1021660240881</v>
      </c>
      <c r="S19" s="67"/>
    </row>
    <row r="20" spans="1:19" s="474" customFormat="1" ht="15.75" thickBot="1">
      <c r="A20" s="730" t="s">
        <v>230</v>
      </c>
      <c r="B20" s="878"/>
      <c r="C20" s="873">
        <f>SUM(C17:C19)</f>
        <v>1.4463933101628001</v>
      </c>
      <c r="D20" s="731">
        <f t="shared" ref="D20:R20" si="1">SUM(D17:D19)</f>
        <v>0</v>
      </c>
      <c r="E20" s="731">
        <f t="shared" si="1"/>
        <v>4.8831895989015539</v>
      </c>
      <c r="F20" s="731">
        <f t="shared" si="1"/>
        <v>6.545454686616238</v>
      </c>
      <c r="G20" s="731">
        <f t="shared" si="1"/>
        <v>0</v>
      </c>
      <c r="H20" s="731">
        <f t="shared" si="1"/>
        <v>2150.1299242311188</v>
      </c>
      <c r="I20" s="731">
        <f t="shared" si="1"/>
        <v>551.45699544242188</v>
      </c>
      <c r="J20" s="731">
        <f t="shared" si="1"/>
        <v>0</v>
      </c>
      <c r="K20" s="731">
        <f t="shared" si="1"/>
        <v>0</v>
      </c>
      <c r="L20" s="731">
        <f t="shared" si="1"/>
        <v>0</v>
      </c>
      <c r="M20" s="731">
        <f t="shared" si="1"/>
        <v>0</v>
      </c>
      <c r="N20" s="731">
        <f t="shared" si="1"/>
        <v>141.96518280025091</v>
      </c>
      <c r="O20" s="731">
        <f t="shared" si="1"/>
        <v>0</v>
      </c>
      <c r="P20" s="731">
        <f t="shared" si="1"/>
        <v>0</v>
      </c>
      <c r="Q20" s="732">
        <f t="shared" si="1"/>
        <v>0</v>
      </c>
      <c r="R20" s="733">
        <f t="shared" si="1"/>
        <v>2856.427140069472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42.719000000000001</v>
      </c>
      <c r="D22" s="727">
        <f>+landbouw!C8</f>
        <v>0</v>
      </c>
      <c r="E22" s="727">
        <f>+landbouw!D8</f>
        <v>0</v>
      </c>
      <c r="F22" s="727">
        <f>+landbouw!E8</f>
        <v>1.2556418888860683</v>
      </c>
      <c r="G22" s="727">
        <f>+landbouw!F8</f>
        <v>177.96504558640325</v>
      </c>
      <c r="H22" s="727">
        <f>+landbouw!G8</f>
        <v>0</v>
      </c>
      <c r="I22" s="727">
        <f>+landbouw!H8</f>
        <v>0</v>
      </c>
      <c r="J22" s="727">
        <f>+landbouw!I8</f>
        <v>0</v>
      </c>
      <c r="K22" s="727">
        <f>+landbouw!J8</f>
        <v>6.1890656989736135</v>
      </c>
      <c r="L22" s="727">
        <f>+landbouw!K8</f>
        <v>0</v>
      </c>
      <c r="M22" s="727">
        <f>+landbouw!L8</f>
        <v>0</v>
      </c>
      <c r="N22" s="727">
        <f>+landbouw!M8</f>
        <v>0</v>
      </c>
      <c r="O22" s="727">
        <f>+landbouw!N8</f>
        <v>0</v>
      </c>
      <c r="P22" s="727">
        <f>+landbouw!O8</f>
        <v>0</v>
      </c>
      <c r="Q22" s="728">
        <f>+landbouw!P8</f>
        <v>0</v>
      </c>
      <c r="R22" s="729">
        <f>SUM(C22:Q22)</f>
        <v>228.12875317426293</v>
      </c>
      <c r="S22" s="67"/>
    </row>
    <row r="23" spans="1:19" s="474" customFormat="1" ht="17.25" thickTop="1" thickBot="1">
      <c r="A23" s="734" t="s">
        <v>116</v>
      </c>
      <c r="B23" s="864"/>
      <c r="C23" s="735">
        <f ca="1">C20+C15+C22</f>
        <v>206.52111680663734</v>
      </c>
      <c r="D23" s="735">
        <f t="shared" ref="D23:Q23" ca="1" si="2">D20+D15+D22</f>
        <v>0</v>
      </c>
      <c r="E23" s="735">
        <f t="shared" ca="1" si="2"/>
        <v>232.65442559890158</v>
      </c>
      <c r="F23" s="735">
        <f t="shared" si="2"/>
        <v>7.8010965755023065</v>
      </c>
      <c r="G23" s="735">
        <f t="shared" ca="1" si="2"/>
        <v>561.11168788051066</v>
      </c>
      <c r="H23" s="735">
        <f t="shared" si="2"/>
        <v>2150.1299242311188</v>
      </c>
      <c r="I23" s="735">
        <f t="shared" si="2"/>
        <v>551.45699544242188</v>
      </c>
      <c r="J23" s="735">
        <f t="shared" si="2"/>
        <v>0</v>
      </c>
      <c r="K23" s="735">
        <f t="shared" si="2"/>
        <v>83.761785027566773</v>
      </c>
      <c r="L23" s="735">
        <f t="shared" si="2"/>
        <v>0</v>
      </c>
      <c r="M23" s="735">
        <f t="shared" ca="1" si="2"/>
        <v>0</v>
      </c>
      <c r="N23" s="735">
        <f t="shared" si="2"/>
        <v>141.96518280025091</v>
      </c>
      <c r="O23" s="735">
        <f t="shared" ca="1" si="2"/>
        <v>0</v>
      </c>
      <c r="P23" s="735">
        <f t="shared" si="2"/>
        <v>1.5633333333333335</v>
      </c>
      <c r="Q23" s="736">
        <f t="shared" si="2"/>
        <v>0</v>
      </c>
      <c r="R23" s="737">
        <f ca="1">R20+R15+R22</f>
        <v>3936.9655476962434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2.0770526144489709</v>
      </c>
      <c r="D36" s="718">
        <f ca="1">tertiair!C20</f>
        <v>0</v>
      </c>
      <c r="E36" s="718">
        <f ca="1">tertiair!D20</f>
        <v>0</v>
      </c>
      <c r="F36" s="718">
        <f>tertiair!E20</f>
        <v>0</v>
      </c>
      <c r="G36" s="718">
        <f ca="1">tertiair!F20</f>
        <v>0</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2.0770526144489709</v>
      </c>
    </row>
    <row r="37" spans="1:18">
      <c r="A37" s="885" t="s">
        <v>225</v>
      </c>
      <c r="B37" s="892"/>
      <c r="C37" s="718">
        <f ca="1">huishoudens!B12</f>
        <v>29.126924433677861</v>
      </c>
      <c r="D37" s="718">
        <f ca="1">huishoudens!C12</f>
        <v>0</v>
      </c>
      <c r="E37" s="718">
        <f>huishoudens!D12</f>
        <v>46.009789672000004</v>
      </c>
      <c r="F37" s="718">
        <f>huishoudens!E12</f>
        <v>0</v>
      </c>
      <c r="G37" s="718">
        <f>huishoudens!F12</f>
        <v>102.30015349252668</v>
      </c>
      <c r="H37" s="718">
        <f>huishoudens!G12</f>
        <v>0</v>
      </c>
      <c r="I37" s="718">
        <f>huishoudens!H12</f>
        <v>0</v>
      </c>
      <c r="J37" s="718">
        <f>huishoudens!I12</f>
        <v>0</v>
      </c>
      <c r="K37" s="718">
        <f>huishoudens!J12</f>
        <v>27.460742642321978</v>
      </c>
      <c r="L37" s="718">
        <f>huishoudens!K12</f>
        <v>0</v>
      </c>
      <c r="M37" s="718">
        <f>huishoudens!L12</f>
        <v>0</v>
      </c>
      <c r="N37" s="718">
        <f>huishoudens!M12</f>
        <v>0</v>
      </c>
      <c r="O37" s="718">
        <f>huishoudens!N12</f>
        <v>0</v>
      </c>
      <c r="P37" s="718">
        <f>huishoudens!O12</f>
        <v>0</v>
      </c>
      <c r="Q37" s="828">
        <f>huishoudens!P12</f>
        <v>0</v>
      </c>
      <c r="R37" s="917">
        <f ca="1">SUM(C37:Q37)</f>
        <v>204.89761024052652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0</v>
      </c>
      <c r="D39" s="718">
        <f ca="1">industrie!C22</f>
        <v>0</v>
      </c>
      <c r="E39" s="718">
        <f>industrie!D22</f>
        <v>0</v>
      </c>
      <c r="F39" s="718">
        <f>industrie!E22</f>
        <v>0</v>
      </c>
      <c r="G39" s="718">
        <f>industrie!F22</f>
        <v>0</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0</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31.203977048126831</v>
      </c>
      <c r="D41" s="763">
        <f t="shared" ref="D41:R41" ca="1" si="4">SUM(D35:D40)</f>
        <v>0</v>
      </c>
      <c r="E41" s="763">
        <f t="shared" ca="1" si="4"/>
        <v>46.009789672000004</v>
      </c>
      <c r="F41" s="763">
        <f t="shared" si="4"/>
        <v>0</v>
      </c>
      <c r="G41" s="763">
        <f t="shared" ca="1" si="4"/>
        <v>102.30015349252668</v>
      </c>
      <c r="H41" s="763">
        <f t="shared" si="4"/>
        <v>0</v>
      </c>
      <c r="I41" s="763">
        <f t="shared" si="4"/>
        <v>0</v>
      </c>
      <c r="J41" s="763">
        <f t="shared" si="4"/>
        <v>0</v>
      </c>
      <c r="K41" s="763">
        <f t="shared" si="4"/>
        <v>27.460742642321978</v>
      </c>
      <c r="L41" s="763">
        <f t="shared" si="4"/>
        <v>0</v>
      </c>
      <c r="M41" s="763">
        <f t="shared" ca="1" si="4"/>
        <v>0</v>
      </c>
      <c r="N41" s="763">
        <f t="shared" si="4"/>
        <v>0</v>
      </c>
      <c r="O41" s="763">
        <f t="shared" ca="1" si="4"/>
        <v>0</v>
      </c>
      <c r="P41" s="763">
        <f t="shared" si="4"/>
        <v>0</v>
      </c>
      <c r="Q41" s="764">
        <f t="shared" si="4"/>
        <v>0</v>
      </c>
      <c r="R41" s="765">
        <f t="shared" ca="1" si="4"/>
        <v>206.97466285497549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3.8718633258459145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3.8718633258459145</v>
      </c>
    </row>
    <row r="45" spans="1:18" ht="15" thickBot="1">
      <c r="A45" s="888" t="s">
        <v>307</v>
      </c>
      <c r="B45" s="898"/>
      <c r="C45" s="727">
        <f ca="1">transport!B18</f>
        <v>0.2779897294711895</v>
      </c>
      <c r="D45" s="727">
        <f>transport!C18</f>
        <v>0</v>
      </c>
      <c r="E45" s="727">
        <f>transport!D18</f>
        <v>0.98640429897811399</v>
      </c>
      <c r="F45" s="727">
        <f>transport!E18</f>
        <v>1.4858182138618861</v>
      </c>
      <c r="G45" s="727">
        <f>transport!F18</f>
        <v>0</v>
      </c>
      <c r="H45" s="727">
        <f>transport!G18</f>
        <v>570.21282644386281</v>
      </c>
      <c r="I45" s="727">
        <f>transport!H18</f>
        <v>137.31279186516304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710.27583055133698</v>
      </c>
    </row>
    <row r="46" spans="1:18" ht="15.75" thickBot="1">
      <c r="A46" s="886" t="s">
        <v>230</v>
      </c>
      <c r="B46" s="899"/>
      <c r="C46" s="763">
        <f t="shared" ref="C46:R46" ca="1" si="5">SUM(C43:C45)</f>
        <v>0.2779897294711895</v>
      </c>
      <c r="D46" s="763">
        <f t="shared" ca="1" si="5"/>
        <v>0</v>
      </c>
      <c r="E46" s="763">
        <f t="shared" si="5"/>
        <v>0.98640429897811399</v>
      </c>
      <c r="F46" s="763">
        <f t="shared" si="5"/>
        <v>1.4858182138618861</v>
      </c>
      <c r="G46" s="763">
        <f t="shared" si="5"/>
        <v>0</v>
      </c>
      <c r="H46" s="763">
        <f t="shared" si="5"/>
        <v>574.08468976970869</v>
      </c>
      <c r="I46" s="763">
        <f t="shared" si="5"/>
        <v>137.31279186516304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714.14769387718286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8.2103831439479578</v>
      </c>
      <c r="D48" s="718">
        <f ca="1">+landbouw!C12</f>
        <v>0</v>
      </c>
      <c r="E48" s="718">
        <f>+landbouw!D12</f>
        <v>0</v>
      </c>
      <c r="F48" s="718">
        <f>+landbouw!E12</f>
        <v>0.28503070877713754</v>
      </c>
      <c r="G48" s="718">
        <f>+landbouw!F12</f>
        <v>47.516667171569672</v>
      </c>
      <c r="H48" s="718">
        <f>+landbouw!G12</f>
        <v>0</v>
      </c>
      <c r="I48" s="718">
        <f>+landbouw!H12</f>
        <v>0</v>
      </c>
      <c r="J48" s="718">
        <f>+landbouw!I12</f>
        <v>0</v>
      </c>
      <c r="K48" s="718">
        <f>+landbouw!J12</f>
        <v>2.1909292574366592</v>
      </c>
      <c r="L48" s="718">
        <f>+landbouw!K12</f>
        <v>0</v>
      </c>
      <c r="M48" s="718">
        <f>+landbouw!L12</f>
        <v>0</v>
      </c>
      <c r="N48" s="718">
        <f>+landbouw!M12</f>
        <v>0</v>
      </c>
      <c r="O48" s="718">
        <f>+landbouw!N12</f>
        <v>0</v>
      </c>
      <c r="P48" s="718">
        <f>+landbouw!O12</f>
        <v>0</v>
      </c>
      <c r="Q48" s="719">
        <f>+landbouw!P12</f>
        <v>0</v>
      </c>
      <c r="R48" s="761">
        <f ca="1">SUM(C48:Q48)</f>
        <v>58.203010281731423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39.692349921545983</v>
      </c>
      <c r="D53" s="773">
        <f t="shared" ref="D53:Q53" ca="1" si="6">D41+D46+D48</f>
        <v>0</v>
      </c>
      <c r="E53" s="773">
        <f t="shared" ca="1" si="6"/>
        <v>46.996193970978119</v>
      </c>
      <c r="F53" s="773">
        <f t="shared" si="6"/>
        <v>1.7708489226390236</v>
      </c>
      <c r="G53" s="773">
        <f t="shared" ca="1" si="6"/>
        <v>149.81682066409635</v>
      </c>
      <c r="H53" s="773">
        <f t="shared" si="6"/>
        <v>574.08468976970869</v>
      </c>
      <c r="I53" s="773">
        <f t="shared" si="6"/>
        <v>137.31279186516304</v>
      </c>
      <c r="J53" s="773">
        <f t="shared" si="6"/>
        <v>0</v>
      </c>
      <c r="K53" s="773">
        <f t="shared" si="6"/>
        <v>29.651671899758639</v>
      </c>
      <c r="L53" s="773">
        <f t="shared" si="6"/>
        <v>0</v>
      </c>
      <c r="M53" s="773">
        <f t="shared" ca="1" si="6"/>
        <v>0</v>
      </c>
      <c r="N53" s="773">
        <f t="shared" si="6"/>
        <v>0</v>
      </c>
      <c r="O53" s="773">
        <f t="shared" ca="1" si="6"/>
        <v>0</v>
      </c>
      <c r="P53" s="773">
        <f>P41+P46+P48</f>
        <v>0</v>
      </c>
      <c r="Q53" s="774">
        <f t="shared" si="6"/>
        <v>0</v>
      </c>
      <c r="R53" s="775">
        <f ca="1">R41+R46+R48</f>
        <v>979.32536701388972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0.19219511561478403</v>
      </c>
      <c r="D55" s="836">
        <f t="shared" ca="1" si="7"/>
        <v>0</v>
      </c>
      <c r="E55" s="836">
        <f t="shared" ca="1" si="7"/>
        <v>0.20199999999999999</v>
      </c>
      <c r="F55" s="836">
        <f t="shared" si="7"/>
        <v>0.22700000000000001</v>
      </c>
      <c r="G55" s="836">
        <f t="shared" ca="1" si="7"/>
        <v>0.26700000000000002</v>
      </c>
      <c r="H55" s="836">
        <f t="shared" si="7"/>
        <v>0.26699999999999996</v>
      </c>
      <c r="I55" s="836">
        <f t="shared" si="7"/>
        <v>0.24899999999999997</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26.917723496474565</v>
      </c>
      <c r="C66" s="795">
        <f>'lokale energieproductie'!B6</f>
        <v>26.917723496474565</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26.917723496474565</v>
      </c>
      <c r="C69" s="803">
        <f>SUM(C64:C68)</f>
        <v>26.917723496474565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151.54872349647457</v>
      </c>
      <c r="C4" s="478">
        <f>huishoudens!C8</f>
        <v>0</v>
      </c>
      <c r="D4" s="478">
        <f>huishoudens!D8</f>
        <v>227.77123600000002</v>
      </c>
      <c r="E4" s="478">
        <f>huishoudens!E8</f>
        <v>0</v>
      </c>
      <c r="F4" s="478">
        <f>huishoudens!F8</f>
        <v>383.14664229410738</v>
      </c>
      <c r="G4" s="478">
        <f>huishoudens!G8</f>
        <v>0</v>
      </c>
      <c r="H4" s="478">
        <f>huishoudens!H8</f>
        <v>0</v>
      </c>
      <c r="I4" s="478">
        <f>huishoudens!I8</f>
        <v>0</v>
      </c>
      <c r="J4" s="478">
        <f>huishoudens!J8</f>
        <v>77.572719328593166</v>
      </c>
      <c r="K4" s="478">
        <f>huishoudens!K8</f>
        <v>0</v>
      </c>
      <c r="L4" s="478">
        <f>huishoudens!L8</f>
        <v>0</v>
      </c>
      <c r="M4" s="478">
        <f>huishoudens!M8</f>
        <v>0</v>
      </c>
      <c r="N4" s="478">
        <f>huishoudens!N8</f>
        <v>0</v>
      </c>
      <c r="O4" s="478">
        <f>huishoudens!O8</f>
        <v>1.5633333333333335</v>
      </c>
      <c r="P4" s="479">
        <f>huishoudens!P8</f>
        <v>0</v>
      </c>
      <c r="Q4" s="480">
        <f>SUM(B4:P4)</f>
        <v>841.60265445250855</v>
      </c>
    </row>
    <row r="5" spans="1:17">
      <c r="A5" s="477" t="s">
        <v>156</v>
      </c>
      <c r="B5" s="478">
        <f ca="1">tertiair!B16</f>
        <v>0</v>
      </c>
      <c r="C5" s="478">
        <f ca="1">tertiair!C16</f>
        <v>0</v>
      </c>
      <c r="D5" s="478">
        <f ca="1">tertiair!D16</f>
        <v>0</v>
      </c>
      <c r="E5" s="478">
        <f>tertiair!E16</f>
        <v>0</v>
      </c>
      <c r="F5" s="478">
        <f ca="1">tertiair!F16</f>
        <v>0</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0</v>
      </c>
      <c r="P5" s="479">
        <f>tertiair!P16</f>
        <v>0</v>
      </c>
      <c r="Q5" s="477">
        <f t="shared" ref="Q5:Q13" ca="1" si="0">SUM(B5:P5)</f>
        <v>0</v>
      </c>
    </row>
    <row r="6" spans="1:17">
      <c r="A6" s="477" t="s">
        <v>194</v>
      </c>
      <c r="B6" s="478">
        <f>'openbare verlichting'!B8</f>
        <v>10.807</v>
      </c>
      <c r="C6" s="478"/>
      <c r="D6" s="478"/>
      <c r="E6" s="478"/>
      <c r="F6" s="478"/>
      <c r="G6" s="478"/>
      <c r="H6" s="478"/>
      <c r="I6" s="478"/>
      <c r="J6" s="478"/>
      <c r="K6" s="478"/>
      <c r="L6" s="478"/>
      <c r="M6" s="478"/>
      <c r="N6" s="478"/>
      <c r="O6" s="478"/>
      <c r="P6" s="479"/>
      <c r="Q6" s="477">
        <f t="shared" si="0"/>
        <v>10.807</v>
      </c>
    </row>
    <row r="7" spans="1:17">
      <c r="A7" s="477" t="s">
        <v>112</v>
      </c>
      <c r="B7" s="478">
        <f>landbouw!B8</f>
        <v>42.719000000000001</v>
      </c>
      <c r="C7" s="478">
        <f>landbouw!C8</f>
        <v>0</v>
      </c>
      <c r="D7" s="478">
        <f>landbouw!D8</f>
        <v>0</v>
      </c>
      <c r="E7" s="478">
        <f>landbouw!E8</f>
        <v>1.2556418888860683</v>
      </c>
      <c r="F7" s="478">
        <f>landbouw!F8</f>
        <v>177.96504558640325</v>
      </c>
      <c r="G7" s="478">
        <f>landbouw!G8</f>
        <v>0</v>
      </c>
      <c r="H7" s="478">
        <f>landbouw!H8</f>
        <v>0</v>
      </c>
      <c r="I7" s="478">
        <f>landbouw!I8</f>
        <v>0</v>
      </c>
      <c r="J7" s="478">
        <f>landbouw!J8</f>
        <v>6.1890656989736135</v>
      </c>
      <c r="K7" s="478">
        <f>landbouw!K8</f>
        <v>0</v>
      </c>
      <c r="L7" s="478">
        <f>landbouw!L8</f>
        <v>0</v>
      </c>
      <c r="M7" s="478">
        <f>landbouw!M8</f>
        <v>0</v>
      </c>
      <c r="N7" s="478">
        <f>landbouw!N8</f>
        <v>0</v>
      </c>
      <c r="O7" s="478">
        <f>landbouw!O8</f>
        <v>0</v>
      </c>
      <c r="P7" s="479">
        <f>landbouw!P8</f>
        <v>0</v>
      </c>
      <c r="Q7" s="477">
        <f t="shared" si="0"/>
        <v>228.12875317426293</v>
      </c>
    </row>
    <row r="8" spans="1:17">
      <c r="A8" s="477" t="s">
        <v>635</v>
      </c>
      <c r="B8" s="478">
        <f>industrie!B18</f>
        <v>0</v>
      </c>
      <c r="C8" s="478">
        <f>industrie!C18</f>
        <v>0</v>
      </c>
      <c r="D8" s="478">
        <f>industrie!D18</f>
        <v>0</v>
      </c>
      <c r="E8" s="478">
        <f>industrie!E18</f>
        <v>0</v>
      </c>
      <c r="F8" s="478">
        <f>industrie!F18</f>
        <v>0</v>
      </c>
      <c r="G8" s="478">
        <f>industrie!G18</f>
        <v>0</v>
      </c>
      <c r="H8" s="478">
        <f>industrie!H18</f>
        <v>0</v>
      </c>
      <c r="I8" s="478">
        <f>industrie!I18</f>
        <v>0</v>
      </c>
      <c r="J8" s="478">
        <f>industrie!J18</f>
        <v>0</v>
      </c>
      <c r="K8" s="478">
        <f>industrie!K18</f>
        <v>0</v>
      </c>
      <c r="L8" s="478">
        <f>industrie!L18</f>
        <v>0</v>
      </c>
      <c r="M8" s="478">
        <f>industrie!M18</f>
        <v>0</v>
      </c>
      <c r="N8" s="478">
        <f>industrie!N18</f>
        <v>0</v>
      </c>
      <c r="O8" s="478">
        <f>industrie!O18</f>
        <v>0</v>
      </c>
      <c r="P8" s="479">
        <f>industrie!P18</f>
        <v>0</v>
      </c>
      <c r="Q8" s="477">
        <f t="shared" si="0"/>
        <v>0</v>
      </c>
    </row>
    <row r="9" spans="1:17" s="483" customFormat="1">
      <c r="A9" s="481" t="s">
        <v>561</v>
      </c>
      <c r="B9" s="482">
        <f>transport!B14</f>
        <v>1.4463933101628001</v>
      </c>
      <c r="C9" s="482">
        <f>transport!C14</f>
        <v>0</v>
      </c>
      <c r="D9" s="482">
        <f>transport!D14</f>
        <v>4.8831895989015539</v>
      </c>
      <c r="E9" s="482">
        <f>transport!E14</f>
        <v>6.545454686616238</v>
      </c>
      <c r="F9" s="482">
        <f>transport!F14</f>
        <v>0</v>
      </c>
      <c r="G9" s="482">
        <f>transport!G14</f>
        <v>2135.6285634601604</v>
      </c>
      <c r="H9" s="482">
        <f>transport!H14</f>
        <v>551.45699544242188</v>
      </c>
      <c r="I9" s="482">
        <f>transport!I14</f>
        <v>0</v>
      </c>
      <c r="J9" s="482">
        <f>transport!J14</f>
        <v>0</v>
      </c>
      <c r="K9" s="482">
        <f>transport!K14</f>
        <v>0</v>
      </c>
      <c r="L9" s="482">
        <f>transport!L14</f>
        <v>0</v>
      </c>
      <c r="M9" s="482">
        <f>transport!M14</f>
        <v>141.14156952582528</v>
      </c>
      <c r="N9" s="482">
        <f>transport!N14</f>
        <v>0</v>
      </c>
      <c r="O9" s="482">
        <f>transport!O14</f>
        <v>0</v>
      </c>
      <c r="P9" s="482">
        <f>transport!P14</f>
        <v>0</v>
      </c>
      <c r="Q9" s="481">
        <f>SUM(B9:P9)</f>
        <v>2841.1021660240881</v>
      </c>
    </row>
    <row r="10" spans="1:17">
      <c r="A10" s="477" t="s">
        <v>551</v>
      </c>
      <c r="B10" s="478">
        <f>transport!B54</f>
        <v>0</v>
      </c>
      <c r="C10" s="478">
        <f>transport!C54</f>
        <v>0</v>
      </c>
      <c r="D10" s="478">
        <f>transport!D54</f>
        <v>0</v>
      </c>
      <c r="E10" s="478">
        <f>transport!E54</f>
        <v>0</v>
      </c>
      <c r="F10" s="478">
        <f>transport!F54</f>
        <v>0</v>
      </c>
      <c r="G10" s="478">
        <f>transport!G54</f>
        <v>14.501360770958481</v>
      </c>
      <c r="H10" s="478">
        <f>transport!H54</f>
        <v>0</v>
      </c>
      <c r="I10" s="478">
        <f>transport!I54</f>
        <v>0</v>
      </c>
      <c r="J10" s="478">
        <f>transport!J54</f>
        <v>0</v>
      </c>
      <c r="K10" s="478">
        <f>transport!K54</f>
        <v>0</v>
      </c>
      <c r="L10" s="478">
        <f>transport!L54</f>
        <v>0</v>
      </c>
      <c r="M10" s="478">
        <f>transport!M54</f>
        <v>0.82361327442563825</v>
      </c>
      <c r="N10" s="478">
        <f>transport!N54</f>
        <v>0</v>
      </c>
      <c r="O10" s="478">
        <f>transport!O54</f>
        <v>0</v>
      </c>
      <c r="P10" s="479">
        <f>transport!P54</f>
        <v>0</v>
      </c>
      <c r="Q10" s="477">
        <f t="shared" si="0"/>
        <v>15.324974045384119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206.52111680663734</v>
      </c>
      <c r="C14" s="488">
        <f t="shared" ref="C14:Q14" ca="1" si="1">SUM(C4:C13)</f>
        <v>0</v>
      </c>
      <c r="D14" s="488">
        <f t="shared" ca="1" si="1"/>
        <v>232.65442559890158</v>
      </c>
      <c r="E14" s="488">
        <f t="shared" si="1"/>
        <v>7.8010965755023065</v>
      </c>
      <c r="F14" s="488">
        <f t="shared" ca="1" si="1"/>
        <v>561.11168788051066</v>
      </c>
      <c r="G14" s="488">
        <f t="shared" si="1"/>
        <v>2150.1299242311188</v>
      </c>
      <c r="H14" s="488">
        <f t="shared" si="1"/>
        <v>551.45699544242188</v>
      </c>
      <c r="I14" s="488">
        <f t="shared" si="1"/>
        <v>0</v>
      </c>
      <c r="J14" s="488">
        <f t="shared" si="1"/>
        <v>83.761785027566773</v>
      </c>
      <c r="K14" s="488">
        <f t="shared" si="1"/>
        <v>0</v>
      </c>
      <c r="L14" s="488">
        <f t="shared" ca="1" si="1"/>
        <v>0</v>
      </c>
      <c r="M14" s="488">
        <f t="shared" si="1"/>
        <v>141.96518280025091</v>
      </c>
      <c r="N14" s="488">
        <f t="shared" ca="1" si="1"/>
        <v>0</v>
      </c>
      <c r="O14" s="488">
        <f t="shared" si="1"/>
        <v>1.5633333333333335</v>
      </c>
      <c r="P14" s="489">
        <f t="shared" si="1"/>
        <v>0</v>
      </c>
      <c r="Q14" s="489">
        <f t="shared" ca="1" si="1"/>
        <v>3936.9655476962434</v>
      </c>
    </row>
    <row r="16" spans="1:17">
      <c r="A16" s="491" t="s">
        <v>556</v>
      </c>
      <c r="B16" s="841">
        <f ca="1">huishoudens!B10</f>
        <v>0.192195115614784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29.126924433677861</v>
      </c>
      <c r="C21" s="478">
        <f t="shared" ref="C21:C30" ca="1" si="3">C4*$C$16</f>
        <v>0</v>
      </c>
      <c r="D21" s="478">
        <f t="shared" ref="D21:D30" si="4">D4*$D$16</f>
        <v>46.009789672000004</v>
      </c>
      <c r="E21" s="478">
        <f t="shared" ref="E21:E30" si="5">E4*$E$16</f>
        <v>0</v>
      </c>
      <c r="F21" s="478">
        <f t="shared" ref="F21:F30" si="6">F4*$F$16</f>
        <v>102.30015349252668</v>
      </c>
      <c r="G21" s="478">
        <f t="shared" ref="G21:G30" si="7">G4*$G$16</f>
        <v>0</v>
      </c>
      <c r="H21" s="478">
        <f t="shared" ref="H21:H30" si="8">H4*$H$16</f>
        <v>0</v>
      </c>
      <c r="I21" s="478">
        <f t="shared" ref="I21:I30" si="9">I4*$I$16</f>
        <v>0</v>
      </c>
      <c r="J21" s="478">
        <f t="shared" ref="J21:J30" si="10">J4*$J$16</f>
        <v>27.460742642321978</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204.89761024052652</v>
      </c>
    </row>
    <row r="22" spans="1:17">
      <c r="A22" s="477" t="s">
        <v>156</v>
      </c>
      <c r="B22" s="478">
        <f t="shared" ca="1" si="2"/>
        <v>0</v>
      </c>
      <c r="C22" s="478">
        <f t="shared" ca="1" si="3"/>
        <v>0</v>
      </c>
      <c r="D22" s="478">
        <f t="shared" ca="1" si="4"/>
        <v>0</v>
      </c>
      <c r="E22" s="478">
        <f t="shared" si="5"/>
        <v>0</v>
      </c>
      <c r="F22" s="478">
        <f t="shared" ca="1" si="6"/>
        <v>0</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0</v>
      </c>
    </row>
    <row r="23" spans="1:17">
      <c r="A23" s="477" t="s">
        <v>194</v>
      </c>
      <c r="B23" s="478">
        <f t="shared" ca="1" si="2"/>
        <v>2.0770526144489709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2.0770526144489709</v>
      </c>
    </row>
    <row r="24" spans="1:17">
      <c r="A24" s="477" t="s">
        <v>112</v>
      </c>
      <c r="B24" s="478">
        <f t="shared" ca="1" si="2"/>
        <v>8.2103831439479578</v>
      </c>
      <c r="C24" s="478">
        <f t="shared" ca="1" si="3"/>
        <v>0</v>
      </c>
      <c r="D24" s="478">
        <f t="shared" si="4"/>
        <v>0</v>
      </c>
      <c r="E24" s="478">
        <f t="shared" si="5"/>
        <v>0.28503070877713754</v>
      </c>
      <c r="F24" s="478">
        <f t="shared" si="6"/>
        <v>47.516667171569672</v>
      </c>
      <c r="G24" s="478">
        <f t="shared" si="7"/>
        <v>0</v>
      </c>
      <c r="H24" s="478">
        <f t="shared" si="8"/>
        <v>0</v>
      </c>
      <c r="I24" s="478">
        <f t="shared" si="9"/>
        <v>0</v>
      </c>
      <c r="J24" s="478">
        <f t="shared" si="10"/>
        <v>2.1909292574366592</v>
      </c>
      <c r="K24" s="478">
        <f t="shared" si="11"/>
        <v>0</v>
      </c>
      <c r="L24" s="478">
        <f t="shared" si="12"/>
        <v>0</v>
      </c>
      <c r="M24" s="478">
        <f t="shared" si="13"/>
        <v>0</v>
      </c>
      <c r="N24" s="478">
        <f t="shared" si="14"/>
        <v>0</v>
      </c>
      <c r="O24" s="478">
        <f t="shared" si="15"/>
        <v>0</v>
      </c>
      <c r="P24" s="479">
        <f t="shared" si="16"/>
        <v>0</v>
      </c>
      <c r="Q24" s="477">
        <f t="shared" ca="1" si="17"/>
        <v>58.203010281731423</v>
      </c>
    </row>
    <row r="25" spans="1:17">
      <c r="A25" s="477" t="s">
        <v>635</v>
      </c>
      <c r="B25" s="478">
        <f t="shared" ca="1" si="2"/>
        <v>0</v>
      </c>
      <c r="C25" s="478">
        <f t="shared" ca="1" si="3"/>
        <v>0</v>
      </c>
      <c r="D25" s="478">
        <f t="shared" si="4"/>
        <v>0</v>
      </c>
      <c r="E25" s="478">
        <f t="shared" si="5"/>
        <v>0</v>
      </c>
      <c r="F25" s="478">
        <f t="shared" si="6"/>
        <v>0</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0</v>
      </c>
    </row>
    <row r="26" spans="1:17" s="483" customFormat="1">
      <c r="A26" s="481" t="s">
        <v>561</v>
      </c>
      <c r="B26" s="835">
        <f t="shared" ca="1" si="2"/>
        <v>0.2779897294711895</v>
      </c>
      <c r="C26" s="482">
        <f t="shared" ca="1" si="3"/>
        <v>0</v>
      </c>
      <c r="D26" s="482">
        <f t="shared" si="4"/>
        <v>0.98640429897811399</v>
      </c>
      <c r="E26" s="482">
        <f t="shared" si="5"/>
        <v>1.4858182138618861</v>
      </c>
      <c r="F26" s="482">
        <f t="shared" si="6"/>
        <v>0</v>
      </c>
      <c r="G26" s="482">
        <f t="shared" si="7"/>
        <v>570.21282644386281</v>
      </c>
      <c r="H26" s="482">
        <f t="shared" si="8"/>
        <v>137.31279186516304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710.27583055133698</v>
      </c>
    </row>
    <row r="27" spans="1:17">
      <c r="A27" s="477" t="s">
        <v>551</v>
      </c>
      <c r="B27" s="478">
        <f t="shared" ca="1" si="2"/>
        <v>0</v>
      </c>
      <c r="C27" s="478">
        <f t="shared" ca="1" si="3"/>
        <v>0</v>
      </c>
      <c r="D27" s="478">
        <f t="shared" si="4"/>
        <v>0</v>
      </c>
      <c r="E27" s="478">
        <f t="shared" si="5"/>
        <v>0</v>
      </c>
      <c r="F27" s="478">
        <f t="shared" si="6"/>
        <v>0</v>
      </c>
      <c r="G27" s="478">
        <f t="shared" si="7"/>
        <v>3.8718633258459145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3.8718633258459145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39.692349921545976</v>
      </c>
      <c r="C31" s="488">
        <f t="shared" ca="1" si="18"/>
        <v>0</v>
      </c>
      <c r="D31" s="488">
        <f t="shared" ca="1" si="18"/>
        <v>46.996193970978119</v>
      </c>
      <c r="E31" s="488">
        <f t="shared" si="18"/>
        <v>1.7708489226390236</v>
      </c>
      <c r="F31" s="488">
        <f t="shared" ca="1" si="18"/>
        <v>149.81682066409635</v>
      </c>
      <c r="G31" s="488">
        <f t="shared" si="18"/>
        <v>574.08468976970869</v>
      </c>
      <c r="H31" s="488">
        <f t="shared" si="18"/>
        <v>137.31279186516304</v>
      </c>
      <c r="I31" s="488">
        <f t="shared" si="18"/>
        <v>0</v>
      </c>
      <c r="J31" s="488">
        <f t="shared" si="18"/>
        <v>29.651671899758639</v>
      </c>
      <c r="K31" s="488">
        <f t="shared" si="18"/>
        <v>0</v>
      </c>
      <c r="L31" s="488">
        <f t="shared" ca="1" si="18"/>
        <v>0</v>
      </c>
      <c r="M31" s="488">
        <f t="shared" si="18"/>
        <v>0</v>
      </c>
      <c r="N31" s="488">
        <f t="shared" ca="1" si="18"/>
        <v>0</v>
      </c>
      <c r="O31" s="488">
        <f t="shared" si="18"/>
        <v>0</v>
      </c>
      <c r="P31" s="489">
        <f t="shared" si="18"/>
        <v>0</v>
      </c>
      <c r="Q31" s="489">
        <f t="shared" ca="1" si="18"/>
        <v>979.32536701388972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0.192195115614784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0.192195115614784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0.192195115614784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2018-09-06T12:49:28Z</dcterms:modified>
</cp:coreProperties>
</file>