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0" i="13"/>
  <c r="C16" i="48" s="1"/>
  <c r="C30" s="1"/>
  <c r="C20" i="16"/>
  <c r="C22" s="1"/>
  <c r="D39" i="14" s="1"/>
  <c r="O13"/>
  <c r="O15"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7"/>
  <c r="C29"/>
  <c r="C21"/>
  <c r="C26"/>
  <c r="F25"/>
  <c r="F31" s="1"/>
  <c r="F14"/>
  <c r="C28" l="1"/>
  <c r="C31" s="1"/>
  <c r="C22"/>
  <c r="R13" i="14"/>
  <c r="R15" s="1"/>
  <c r="R23" s="1"/>
  <c r="C25"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<sst xmlns="http://schemas.openxmlformats.org/spreadsheetml/2006/main" count="1922" uniqueCount="815">
  <si>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</si>
  <si>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</si>
  <si>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</si>
  <si>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</si>
  <si>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</si>
  <si>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</si>
  <si>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</si>
  <si>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</si>
  <si>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</si>
  <si>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</si>
  <si>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</si>
  <si>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</si>
  <si>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</si>
  <si>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</si>
  <si>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</si>
  <si>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</si>
  <si>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</si>
  <si>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</si>
  <si>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</si>
  <si>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</si>
  <si>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</si>
  <si>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</si>
  <si>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</si>
  <si>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</si>
  <si>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</si>
  <si>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</si>
  <si>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</si>
  <si>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</si>
  <si>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</si>
  <si>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</si>
  <si>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</si>
  <si>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</si>
  <si>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</si>
  <si>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</si>
  <si>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</si>
  <si>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</si>
  <si>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</si>
  <si>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</si>
  <si>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</si>
  <si>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</si>
  <si>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</si>
  <si>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</si>
  <si>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</si>
  <si>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</si>
  <si>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</si>
  <si>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</si>
  <si>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</si>
  <si>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</si>
  <si>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</si>
  <si>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</si>
  <si>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</si>
  <si>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</si>
  <si>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</si>
  <si>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</si>
  <si>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</si>
  <si>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</si>
  <si>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</si>
  <si>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</si>
  <si>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</si>
  <si>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</si>
  <si>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</si>
  <si>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</si>
  <si>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</si>
  <si>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</si>
  <si>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</si>
  <si>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</si>
  <si>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</si>
  <si>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</si>
  <si>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</si>
  <si>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</si>
  <si>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</si>
  <si>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</si>
  <si>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</si>
  <si>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</si>
  <si>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</si>
  <si>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</si>
  <si>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</si>
  <si>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</si>
  <si>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</si>
  <si>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</si>
  <si>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</si>
  <si>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</si>
  <si>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</si>
  <si>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</si>
  <si>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</si>
  <si>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</si>
  <si>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</si>
  <si>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</si>
  <si>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</si>
  <si>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</si>
  <si>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</si>
  <si>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</si>
  <si>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</si>
  <si>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</si>
  <si>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</si>
  <si>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</si>
  <si>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</si>
  <si>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</si>
  <si>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</si>
  <si>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</si>
  <si>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</si>
  <si>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</si>
  <si>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</si>
  <si>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</si>
  <si>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</si>
  <si>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</si>
  <si>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</si>
  <si>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</si>
  <si>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</si>
  <si>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</si>
  <si>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</si>
  <si>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</si>
  <si>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</si>
  <si>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</si>
  <si>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</si>
  <si>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</si>
  <si>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</si>
  <si>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</si>
  <si>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</si>
  <si>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</si>
  <si>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</si>
  <si>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</si>
  <si>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</si>
  <si>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</si>
  <si>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</si>
  <si>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</si>
  <si>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</si>
  <si>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</si>
  <si>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</si>
  <si>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</si>
  <si>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</si>
  <si>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</si>
  <si>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</si>
  <si>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</si>
  <si>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</si>
  <si>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</si>
  <si>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</si>
  <si>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</si>
  <si>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</si>
  <si>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</si>
  <si>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</si>
  <si>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</si>
  <si>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</si>
  <si>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</si>
  <si>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</si>
  <si>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</si>
  <si>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</si>
  <si>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</si>
  <si>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</si>
  <si>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</si>
  <si>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</si>
  <si>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</si>
  <si>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</si>
  <si>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</si>
  <si>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</si>
  <si>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</si>
  <si>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</si>
  <si>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</si>
  <si>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</si>
  <si>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</si>
  <si>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</si>
  <si>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</si>
  <si>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</si>
  <si>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</si>
  <si>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</si>
  <si>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</si>
  <si>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</si>
  <si>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</si>
  <si>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</si>
  <si>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</si>
  <si>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</si>
  <si>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</si>
  <si>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</si>
  <si>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</si>
  <si>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</si>
  <si>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</si>
  <si>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</si>
  <si>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</si>
  <si>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</si>
  <si>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</si>
  <si>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</si>
  <si>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</si>
  <si>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</si>
  <si>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</si>
  <si>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</si>
  <si>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</si>
  <si>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</si>
  <si>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</si>
  <si>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</si>
  <si>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</si>
  <si>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</si>
  <si>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</si>
  <si>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</si>
  <si>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</si>
  <si>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</si>
  <si>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</si>
  <si>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</si>
  <si>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</si>
  <si>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</si>
  <si>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</si>
  <si>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</si>
  <si>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</si>
  <si>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</si>
  <si>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</si>
  <si>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</si>
  <si>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</si>
  <si>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</si>
  <si>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</si>
  <si>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</si>
  <si>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</si>
  <si>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</si>
  <si>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</si>
  <si>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</si>
  <si>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</si>
  <si>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</si>
  <si>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</si>
  <si>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</si>
  <si>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</si>
  <si>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</si>
  <si>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</si>
  <si>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</si>
  <si>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</si>
  <si>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</si>
  <si>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</si>
  <si>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</si>
  <si>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</si>
  <si>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</si>
  <si>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</si>
  <si>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</si>
  <si>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</si>
  <si>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</si>
  <si>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</si>
  <si>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</si>
  <si>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</si>
  <si>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</si>
  <si>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</si>
  <si>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</si>
  <si>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</si>
  <si>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</si>
  <si>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</si>
  <si>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</si>
  <si>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</si>
  <si>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</si>
  <si>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</si>
  <si>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</si>
  <si>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</si>
  <si>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</si>
  <si>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</si>
  <si>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</si>
  <si>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</si>
  <si>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</si>
  <si>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</si>
  <si>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</si>
  <si>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</si>
  <si>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</si>
  <si>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</si>
  <si>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</si>
  <si>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</si>
  <si>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</si>
  <si>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</si>
  <si>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</si>
  <si>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</si>
  <si>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</si>
  <si>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</si>
  <si>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</si>
  <si>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</si>
  <si>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</si>
  <si>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</si>
  <si>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</si>
  <si>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</si>
  <si>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</si>
  <si>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</si>
  <si>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</si>
  <si>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</si>
  <si>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</si>
  <si>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</si>
  <si>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</si>
  <si>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</si>
  <si>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</si>
  <si>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</si>
  <si>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</si>
  <si>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</si>
  <si>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</si>
  <si>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</si>
  <si>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</si>
  <si>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</si>
  <si>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</si>
  <si>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</si>
  <si>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</si>
  <si>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</si>
  <si>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</si>
  <si>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</si>
  <si>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</si>
  <si>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</si>
  <si>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</si>
  <si>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</si>
  <si>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</si>
  <si>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</si>
  <si>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</si>
  <si>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</si>
  <si>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</si>
  <si>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</si>
  <si>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</si>
  <si>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</si>
  <si>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</si>
  <si>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</si>
  <si>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</si>
  <si>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</si>
  <si>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</si>
  <si>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</si>
  <si>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</si>
  <si>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</si>
  <si>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</si>
  <si>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</si>
  <si>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</si>
  <si>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</si>
  <si>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</si>
  <si>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</si>
  <si>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</si>
  <si>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</si>
  <si>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</si>
  <si>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</si>
  <si>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</si>
  <si>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</si>
  <si>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</si>
  <si>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</si>
  <si>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</si>
  <si>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</si>
  <si>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</si>
  <si>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</si>
  <si>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</si>
  <si>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</si>
  <si>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</si>
  <si>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</si>
  <si>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</si>
  <si>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</si>
  <si>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</si>
  <si>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</si>
  <si>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</si>
  <si>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</si>
  <si>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</si>
  <si>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</si>
  <si>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</si>
  <si>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</si>
  <si>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</si>
  <si>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</si>
  <si>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</si>
  <si>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</si>
  <si>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</si>
  <si>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</si>
  <si>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</si>
  <si>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</si>
  <si>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</si>
  <si>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</si>
  <si>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</si>
  <si>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</si>
  <si>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</si>
  <si>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</si>
  <si>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</si>
  <si>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</si>
  <si>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</si>
  <si>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</si>
  <si>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</si>
  <si>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</si>
  <si>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</si>
  <si>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</si>
  <si>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</si>
  <si>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</si>
  <si>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</si>
  <si>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</si>
  <si>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</si>
  <si>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</si>
  <si>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</si>
  <si>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</si>
  <si>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</si>
  <si>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</si>
  <si>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</si>
  <si>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</si>
  <si>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</si>
  <si>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</si>
  <si>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</si>
  <si>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</si>
  <si>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</si>
  <si>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</si>
  <si>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</si>
  <si>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</si>
  <si>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</si>
  <si>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</si>
  <si>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</si>
  <si>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</si>
  <si>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</si>
  <si>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</si>
  <si>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</si>
  <si>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</si>
  <si>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</si>
  <si>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</si>
  <si>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</si>
  <si>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</si>
  <si>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</si>
  <si>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</si>
  <si>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</si>
  <si>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</si>
  <si>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</si>
  <si>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</si>
  <si>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</si>
  <si>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</si>
  <si>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</si>
  <si>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</si>
  <si>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</si>
  <si>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</si>
  <si>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</si>
  <si>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</si>
  <si>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</si>
  <si>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</si>
  <si>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</si>
  <si>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</si>
  <si>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</si>
  <si>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</si>
  <si>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</si>
  <si>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</si>
  <si>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</si>
  <si>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</si>
  <si>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</si>
  <si>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</si>
  <si>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</si>
  <si>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</si>
  <si>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</si>
  <si>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</si>
  <si>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</si>
  <si>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</si>
  <si>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</si>
  <si>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</si>
  <si>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</si>
  <si>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</si>
  <si>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</si>
  <si>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</si>
  <si>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</si>
  <si>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</si>
  <si>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</si>
  <si>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</si>
  <si>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</si>
  <si>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</si>
  <si>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</si>
  <si>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</si>
  <si>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</si>
  <si>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</si>
  <si>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</si>
  <si>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</si>
  <si>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</si>
  <si>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</si>
  <si>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</si>
  <si>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</si>
  <si>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</si>
  <si>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</si>
  <si>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</si>
  <si>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</si>
  <si>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</si>
  <si>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</si>
  <si>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</si>
  <si>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</si>
  <si>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</si>
  <si>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</si>
  <si>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</si>
  <si>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</si>
  <si>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</si>
  <si>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</si>
  <si>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</si>
  <si>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</si>
  <si>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</si>
  <si>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</si>
  <si>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</si>
  <si>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</si>
  <si>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</si>
  <si>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</si>
  <si>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</si>
  <si>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</si>
  <si>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</si>
  <si>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</si>
  <si>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</si>
  <si>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</si>
  <si>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</si>
  <si>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</si>
  <si>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</si>
  <si>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</si>
  <si>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</si>
  <si>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</si>
  <si>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</si>
  <si>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</si>
  <si>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</si>
  <si>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</si>
  <si>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</si>
  <si>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</si>
  <si>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</si>
  <si>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</si>
  <si>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</si>
  <si>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</si>
  <si>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</si>
  <si>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</si>
  <si>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</si>
  <si>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</si>
  <si>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</si>
  <si>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</si>
  <si>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</si>
  <si>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</si>
  <si>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</si>
  <si>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</si>
  <si>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</si>
  <si>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</si>
  <si>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</si>
  <si>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</si>
  <si>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</si>
  <si>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</si>
  <si>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</si>
  <si>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</si>
  <si>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</si>
  <si>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</si>
  <si>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</si>
  <si>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</si>
  <si>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</si>
  <si>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</si>
  <si>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</si>
  <si>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</si>
  <si>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</si>
  <si>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</si>
  <si>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</si>
  <si>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</si>
  <si>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</si>
  <si>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</si>
  <si>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</si>
  <si>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</si>
  <si>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</si>
  <si>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</si>
  <si>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</si>
  <si>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</si>
  <si>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</si>
  <si>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</si>
  <si>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</si>
  <si>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</si>
  <si>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</si>
  <si>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</si>
  <si>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</si>
  <si>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</si>
  <si>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</si>
  <si>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</si>
  <si>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</si>
  <si>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</si>
  <si>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</si>
  <si>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</si>
  <si>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</si>
  <si>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</si>
  <si>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</si>
  <si>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</si>
  <si>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</si>
  <si>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</si>
  <si>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</si>
  <si>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</si>
  <si>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</si>
  <si>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</si>
  <si>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</si>
  <si>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</si>
  <si>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</si>
  <si>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</si>
  <si>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</si>
  <si>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</si>
  <si>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</si>
  <si>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</si>
  <si>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</si>
  <si>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</si>
  <si>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</si>
  <si>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</si>
  <si>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</si>
  <si>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</si>
  <si>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</si>
  <si>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</si>
  <si>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</si>
  <si>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</si>
  <si>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</si>
  <si>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</si>
  <si>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</si>
  <si>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</si>
  <si>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</si>
  <si>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</si>
  <si>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</si>
  <si>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</si>
  <si>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</si>
  <si>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</si>
  <si>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</si>
  <si>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</si>
  <si>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</si>
  <si>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</si>
  <si>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</si>
  <si>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</si>
  <si>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</si>
  <si>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</si>
  <si>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</si>
  <si>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</si>
  <si>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</si>
  <si>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</si>
  <si>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</si>
  <si>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</si>
  <si>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</si>
  <si>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</si>
  <si>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</si>
  <si>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</si>
  <si>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</si>
  <si>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</si>
  <si>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</si>
  <si>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</si>
  <si>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</si>
  <si>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</si>
  <si>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</si>
  <si>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</si>
  <si>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</si>
  <si>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</si>
  <si>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</si>
  <si>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</si>
  <si>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</si>
  <si>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</si>
  <si>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</si>
  <si>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</si>
  <si>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</si>
  <si>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</si>
  <si>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</si>
  <si>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</si>
  <si>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</si>
  <si>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</si>
  <si>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</si>
  <si>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</si>
  <si>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</si>
  <si>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</si>
  <si>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</si>
  <si>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</si>
  <si>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</si>
  <si>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</si>
  <si>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</si>
  <si>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</si>
  <si>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</si>
  <si>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</si>
  <si>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</si>
  <si>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</si>
  <si>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</si>
  <si>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</si>
  <si>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</si>
  <si>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</si>
  <si>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</si>
  <si>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</si>
  <si>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</si>
  <si>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</si>
  <si>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</si>
  <si>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</si>
  <si>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</si>
  <si>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</si>
  <si>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</si>
  <si>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</si>
  <si>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</si>
  <si>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</si>
  <si>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</si>
  <si>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</si>
  <si>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</si>
  <si>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</si>
  <si>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</si>
  <si>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</si>
  <si>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</si>
  <si>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</si>
  <si>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</si>
  <si>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</si>
  <si>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</si>
  <si>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</si>
  <si>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</si>
  <si>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</si>
  <si>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</si>
  <si>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</si>
  <si>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</si>
  <si>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</si>
  <si>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</si>
  <si>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</si>
  <si>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</si>
  <si>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</si>
  <si>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</si>
  <si>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</si>
  <si>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</si>
  <si>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</si>
  <si>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</si>
  <si>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</si>
  <si>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</si>
  <si>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</si>
  <si>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</si>
  <si>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</si>
  <si>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</si>
  <si>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</si>
  <si>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</si>
  <si>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</si>
  <si>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</si>
  <si>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</si>
  <si>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</si>
  <si>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</si>
  <si>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</si>
  <si>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</si>
  <si>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</si>
  <si>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</si>
  <si>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</si>
  <si>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</si>
  <si>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</si>
  <si>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</si>
  <si>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</si>
  <si>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</si>
  <si>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</si>
  <si>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</si>
  <si>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</si>
  <si>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</si>
  <si>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</si>
  <si>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</si>
  <si>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</si>
  <si>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</si>
  <si>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</si>
  <si>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</si>
  <si>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</si>
  <si>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</si>
  <si>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</si>
  <si>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</si>
  <si>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</si>
  <si>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</si>
  <si>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</si>
  <si>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</si>
  <si>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</si>
  <si>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</si>
  <si>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</si>
  <si>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</si>
  <si>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</si>
  <si>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</si>
  <si>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</si>
  <si>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</si>
  <si>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</si>
  <si>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</si>
  <si>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</si>
  <si>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</si>
  <si>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</si>
  <si>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</si>
  <si>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</si>
  <si>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</si>
  <si>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</si>
  <si>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</si>
  <si>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</si>
  <si>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</si>
  <si>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</si>
  <si>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</si>
  <si>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</si>
  <si>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</si>
  <si>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</si>
  <si>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</si>
  <si>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</si>
  <si>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</si>
  <si>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</si>
  <si>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</si>
  <si>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</si>
  <si>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</si>
  <si>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</si>
  <si>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</si>
  <si>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</si>
  <si>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</si>
  <si>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</si>
  <si>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</si>
  <si>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</si>
  <si>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</si>
  <si>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</si>
  <si>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</si>
  <si>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</si>
  <si>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</si>
  <si>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</si>
  <si>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</si>
  <si>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</si>
  <si>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</si>
  <si>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</si>
  <si>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</si>
  <si>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</si>
  <si>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</si>
  <si>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</si>
  <si>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</si>
  <si>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</si>
  <si>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</si>
  <si>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</si>
  <si>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</si>
  <si>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</si>
  <si>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</si>
  <si>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</si>
  <si>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</si>
  <si>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</si>
  <si>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</si>
  <si>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</si>
  <si>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</si>
  <si>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</si>
  <si>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</si>
  <si>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</si>
  <si>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</si>
  <si>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</si>
  <si>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</si>
  <si>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</si>
  <si>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</si>
  <si>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</si>
  <si>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</si>
  <si>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</si>
  <si>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73009</t>
  </si>
  <si>
    <t>BORGLOON</t>
  </si>
  <si>
    <t>Eandis (januari 2018); Infrax (juni 2018)</t>
  </si>
  <si>
    <t>MOW (september 2017)</t>
  </si>
  <si>
    <t>referentietaak LNE (2017); Jaarverslag De Lijn (2016)</t>
  </si>
  <si>
    <t>VEA (april 2018)</t>
  </si>
  <si>
    <t>VEA (januari 2017)</t>
  </si>
  <si>
    <t>VEA (juni 2018)</t>
  </si>
  <si>
    <t>Arkens</t>
  </si>
  <si>
    <t>WKK-0764 Arkens</t>
  </si>
  <si>
    <t>interne verbrandingsmotor</t>
  </si>
  <si>
    <t>WKK interne verbrandinsgmotor (gas)</t>
  </si>
  <si>
    <t>Tongersesteenweg 308, 3840 Borgloon, BE</t>
  </si>
  <si>
    <t>Inter-energa (via INFRAX)</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</si>
</sst>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106167.77372583555</c:v>
                </c:pt>
                <c:pt idx="1">
                  <c:v>36388.103408751238</c:v>
                </c:pt>
                <c:pt idx="2">
                  <c:v>550.84900000000005</c:v>
                </c:pt>
                <c:pt idx="3">
                  <c:v>23128.071050256924</c:v>
                </c:pt>
                <c:pt idx="4">
                  <c:v>28611.140904588749</c:v>
                </c:pt>
                <c:pt idx="5">
                  <c:v>69957.216118743017</c:v>
                </c:pt>
                <c:pt idx="6">
                  <c:v>1234.451933906078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46080"/>
        <c:axId val="156451968"/>
      </c:barChart>
      <c:catAx>
        <c:axId val="156446080"/>
        <c:scaling>
          <c:orientation val="minMax"/>
        </c:scaling>
        <c:axPos val="b"/>
        <c:numFmt formatCode="General" sourceLinked="0"/>
        <c:tickLblPos val="nextTo"/>
        <c:crossAx val="156451968"/>
        <c:crosses val="autoZero"/>
        <c:auto val="1"/>
        <c:lblAlgn val="ctr"/>
        <c:lblOffset val="100"/>
      </c:catAx>
      <c:valAx>
        <c:axId val="156451968"/>
        <c:scaling>
          <c:orientation val="minMax"/>
        </c:scaling>
        <c:axPos val="l"/>
        <c:majorGridlines/>
        <c:numFmt formatCode="#,##0" sourceLinked="1"/>
        <c:tickLblPos val="nextTo"/>
        <c:crossAx val="156446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106167.77372583555</c:v>
                </c:pt>
                <c:pt idx="1">
                  <c:v>36388.103408751238</c:v>
                </c:pt>
                <c:pt idx="2">
                  <c:v>550.84900000000005</c:v>
                </c:pt>
                <c:pt idx="3">
                  <c:v>23128.071050256924</c:v>
                </c:pt>
                <c:pt idx="4">
                  <c:v>28611.140904588749</c:v>
                </c:pt>
                <c:pt idx="5">
                  <c:v>69957.216118743017</c:v>
                </c:pt>
                <c:pt idx="6">
                  <c:v>1234.451933906078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21618.584676712719</c:v>
                </c:pt>
                <c:pt idx="1">
                  <c:v>7076.6254437815096</c:v>
                </c:pt>
                <c:pt idx="2">
                  <c:v>106.15048961615973</c:v>
                </c:pt>
                <c:pt idx="3">
                  <c:v>5796.7673175427381</c:v>
                </c:pt>
                <c:pt idx="4">
                  <c:v>5597.8272869815964</c:v>
                </c:pt>
                <c:pt idx="5">
                  <c:v>17515.427531055197</c:v>
                </c:pt>
                <c:pt idx="6">
                  <c:v>311.88497652628212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28256"/>
        <c:axId val="156946432"/>
      </c:barChart>
      <c:catAx>
        <c:axId val="156928256"/>
        <c:scaling>
          <c:orientation val="minMax"/>
        </c:scaling>
        <c:axPos val="b"/>
        <c:numFmt formatCode="General" sourceLinked="0"/>
        <c:tickLblPos val="nextTo"/>
        <c:crossAx val="156946432"/>
        <c:crosses val="autoZero"/>
        <c:auto val="1"/>
        <c:lblAlgn val="ctr"/>
        <c:lblOffset val="100"/>
      </c:catAx>
      <c:valAx>
        <c:axId val="156946432"/>
        <c:scaling>
          <c:orientation val="minMax"/>
        </c:scaling>
        <c:axPos val="l"/>
        <c:majorGridlines/>
        <c:numFmt formatCode="#,##0" sourceLinked="1"/>
        <c:tickLblPos val="nextTo"/>
        <c:crossAx val="1569282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21618.584676712719</c:v>
                </c:pt>
                <c:pt idx="1">
                  <c:v>7076.6254437815096</c:v>
                </c:pt>
                <c:pt idx="2">
                  <c:v>106.15048961615973</c:v>
                </c:pt>
                <c:pt idx="3">
                  <c:v>5796.7673175427381</c:v>
                </c:pt>
                <c:pt idx="4">
                  <c:v>5597.8272869815964</c:v>
                </c:pt>
                <c:pt idx="5">
                  <c:v>17515.427531055197</c:v>
                </c:pt>
                <c:pt idx="6">
                  <c:v>311.88497652628212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73009</v>
      </c>
      <c r="B6" s="415"/>
      <c r="C6" s="416"/>
    </row>
    <row r="7" spans="1:7" s="413" customFormat="1" ht="15.75" customHeight="1">
      <c r="A7" s="417" t="str">
        <f>txtMunicipality</f>
        <v>BORGLOON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73009</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4413</v>
      </c>
      <c r="C9" s="342">
        <v>4581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3389.3</v>
      </c>
    </row>
    <row r="15" spans="1:6">
      <c r="A15" s="348" t="s">
        <v>184</v>
      </c>
      <c r="B15" s="334">
        <v>9</v>
      </c>
    </row>
    <row r="16" spans="1:6">
      <c r="A16" s="348" t="s">
        <v>6</v>
      </c>
      <c r="B16" s="334">
        <v>274</v>
      </c>
    </row>
    <row r="17" spans="1:6">
      <c r="A17" s="348" t="s">
        <v>7</v>
      </c>
      <c r="B17" s="334">
        <v>708</v>
      </c>
    </row>
    <row r="18" spans="1:6">
      <c r="A18" s="348" t="s">
        <v>8</v>
      </c>
      <c r="B18" s="334">
        <v>690</v>
      </c>
    </row>
    <row r="19" spans="1:6">
      <c r="A19" s="348" t="s">
        <v>9</v>
      </c>
      <c r="B19" s="334">
        <v>538</v>
      </c>
    </row>
    <row r="20" spans="1:6">
      <c r="A20" s="348" t="s">
        <v>10</v>
      </c>
      <c r="B20" s="334">
        <v>488</v>
      </c>
    </row>
    <row r="21" spans="1:6">
      <c r="A21" s="348" t="s">
        <v>11</v>
      </c>
      <c r="B21" s="334">
        <v>3493</v>
      </c>
    </row>
    <row r="22" spans="1:6">
      <c r="A22" s="348" t="s">
        <v>12</v>
      </c>
      <c r="B22" s="334">
        <v>7371</v>
      </c>
    </row>
    <row r="23" spans="1:6">
      <c r="A23" s="348" t="s">
        <v>13</v>
      </c>
      <c r="B23" s="334">
        <v>159</v>
      </c>
    </row>
    <row r="24" spans="1:6">
      <c r="A24" s="348" t="s">
        <v>14</v>
      </c>
      <c r="B24" s="334">
        <v>12</v>
      </c>
    </row>
    <row r="25" spans="1:6">
      <c r="A25" s="348" t="s">
        <v>15</v>
      </c>
      <c r="B25" s="334">
        <v>1004</v>
      </c>
    </row>
    <row r="26" spans="1:6">
      <c r="A26" s="348" t="s">
        <v>16</v>
      </c>
      <c r="B26" s="334">
        <v>142</v>
      </c>
    </row>
    <row r="27" spans="1:6">
      <c r="A27" s="348" t="s">
        <v>17</v>
      </c>
      <c r="B27" s="334">
        <v>2</v>
      </c>
    </row>
    <row r="28" spans="1:6" s="356" customFormat="1">
      <c r="A28" s="355" t="s">
        <v>18</v>
      </c>
      <c r="B28" s="355">
        <v>0</v>
      </c>
    </row>
    <row r="29" spans="1:6">
      <c r="A29" s="355" t="s">
        <v>744</v>
      </c>
      <c r="B29" s="355">
        <v>46</v>
      </c>
      <c r="C29" s="356"/>
      <c r="D29" s="356"/>
      <c r="E29" s="356"/>
      <c r="F29" s="356"/>
    </row>
    <row r="30" spans="1:6">
      <c r="A30" s="341" t="s">
        <v>745</v>
      </c>
      <c r="B30" s="341">
        <v>8</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8</v>
      </c>
      <c r="F36" s="334">
        <v>638544</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1947</v>
      </c>
      <c r="D39" s="334">
        <v>30622116.75</v>
      </c>
      <c r="E39" s="334">
        <v>4392</v>
      </c>
      <c r="F39" s="334">
        <v>14747102.400000002</v>
      </c>
    </row>
    <row r="40" spans="1:6">
      <c r="A40" s="348" t="s">
        <v>30</v>
      </c>
      <c r="B40" s="348" t="s">
        <v>29</v>
      </c>
      <c r="C40" s="334">
        <v>0</v>
      </c>
      <c r="D40" s="334">
        <v>0</v>
      </c>
      <c r="E40" s="334">
        <v>0</v>
      </c>
      <c r="F40" s="334">
        <v>0</v>
      </c>
    </row>
    <row r="41" spans="1:6">
      <c r="A41" s="348" t="s">
        <v>32</v>
      </c>
      <c r="B41" s="348" t="s">
        <v>33</v>
      </c>
      <c r="C41" s="334">
        <v>34</v>
      </c>
      <c r="D41" s="334">
        <v>1064426</v>
      </c>
      <c r="E41" s="334">
        <v>97</v>
      </c>
      <c r="F41" s="334">
        <v>1938391.65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13</v>
      </c>
      <c r="F44" s="334">
        <v>74389</v>
      </c>
    </row>
    <row r="45" spans="1:6">
      <c r="A45" s="348" t="s">
        <v>32</v>
      </c>
      <c r="B45" s="348" t="s">
        <v>37</v>
      </c>
      <c r="C45" s="334">
        <v>3</v>
      </c>
      <c r="D45" s="334">
        <v>100842</v>
      </c>
      <c r="E45" s="334">
        <v>13</v>
      </c>
      <c r="F45" s="334">
        <v>1025795</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5</v>
      </c>
      <c r="D50" s="334">
        <v>15629039</v>
      </c>
      <c r="E50" s="334">
        <v>11</v>
      </c>
      <c r="F50" s="334">
        <v>6205983</v>
      </c>
    </row>
    <row r="51" spans="1:6">
      <c r="A51" s="348" t="s">
        <v>42</v>
      </c>
      <c r="B51" s="348" t="s">
        <v>43</v>
      </c>
      <c r="C51" s="334">
        <v>16</v>
      </c>
      <c r="D51" s="334">
        <v>2329981</v>
      </c>
      <c r="E51" s="334">
        <v>129</v>
      </c>
      <c r="F51" s="334">
        <v>3949411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v>
      </c>
      <c r="F54" s="334">
        <v>550849</v>
      </c>
    </row>
    <row r="55" spans="1:6">
      <c r="A55" s="348" t="s">
        <v>46</v>
      </c>
      <c r="B55" s="348" t="s">
        <v>29</v>
      </c>
      <c r="C55" s="334">
        <v>0</v>
      </c>
      <c r="D55" s="334">
        <v>0</v>
      </c>
      <c r="E55" s="334">
        <v>0</v>
      </c>
      <c r="F55" s="334">
        <v>0</v>
      </c>
    </row>
    <row r="56" spans="1:6">
      <c r="A56" s="348" t="s">
        <v>48</v>
      </c>
      <c r="B56" s="348" t="s">
        <v>29</v>
      </c>
      <c r="C56" s="334">
        <v>4</v>
      </c>
      <c r="D56" s="334">
        <v>68006</v>
      </c>
      <c r="E56" s="334">
        <v>7</v>
      </c>
      <c r="F56" s="334">
        <v>153660</v>
      </c>
    </row>
    <row r="57" spans="1:6">
      <c r="A57" s="348" t="s">
        <v>49</v>
      </c>
      <c r="B57" s="348" t="s">
        <v>50</v>
      </c>
      <c r="C57" s="334">
        <v>28</v>
      </c>
      <c r="D57" s="334">
        <v>1726549</v>
      </c>
      <c r="E57" s="334">
        <v>80</v>
      </c>
      <c r="F57" s="334">
        <v>1930362</v>
      </c>
    </row>
    <row r="58" spans="1:6">
      <c r="A58" s="348" t="s">
        <v>49</v>
      </c>
      <c r="B58" s="348" t="s">
        <v>51</v>
      </c>
      <c r="C58" s="334">
        <v>22</v>
      </c>
      <c r="D58" s="334">
        <v>1634780</v>
      </c>
      <c r="E58" s="334">
        <v>39</v>
      </c>
      <c r="F58" s="334">
        <v>464602</v>
      </c>
    </row>
    <row r="59" spans="1:6">
      <c r="A59" s="348" t="s">
        <v>49</v>
      </c>
      <c r="B59" s="348" t="s">
        <v>52</v>
      </c>
      <c r="C59" s="334">
        <v>42</v>
      </c>
      <c r="D59" s="334">
        <v>1190431</v>
      </c>
      <c r="E59" s="334">
        <v>122</v>
      </c>
      <c r="F59" s="334">
        <v>11172081.550000001</v>
      </c>
    </row>
    <row r="60" spans="1:6">
      <c r="A60" s="348" t="s">
        <v>49</v>
      </c>
      <c r="B60" s="348" t="s">
        <v>53</v>
      </c>
      <c r="C60" s="334">
        <v>39</v>
      </c>
      <c r="D60" s="334">
        <v>2367566.6</v>
      </c>
      <c r="E60" s="334">
        <v>52</v>
      </c>
      <c r="F60" s="334">
        <v>1153634.55</v>
      </c>
    </row>
    <row r="61" spans="1:6">
      <c r="A61" s="348" t="s">
        <v>49</v>
      </c>
      <c r="B61" s="348" t="s">
        <v>54</v>
      </c>
      <c r="C61" s="334">
        <v>79</v>
      </c>
      <c r="D61" s="334">
        <v>2135553.3000000003</v>
      </c>
      <c r="E61" s="334">
        <v>226</v>
      </c>
      <c r="F61" s="334">
        <v>5748322.9500000002</v>
      </c>
    </row>
    <row r="62" spans="1:6">
      <c r="A62" s="348" t="s">
        <v>49</v>
      </c>
      <c r="B62" s="348" t="s">
        <v>55</v>
      </c>
      <c r="C62" s="334">
        <v>11</v>
      </c>
      <c r="D62" s="334">
        <v>1718908</v>
      </c>
      <c r="E62" s="334">
        <v>11</v>
      </c>
      <c r="F62" s="334">
        <v>310387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187998</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61654077</v>
      </c>
      <c r="E73" s="476">
        <v>52767907.859492898</v>
      </c>
    </row>
    <row r="74" spans="1:6">
      <c r="A74" s="348" t="s">
        <v>64</v>
      </c>
      <c r="B74" s="348" t="s">
        <v>657</v>
      </c>
      <c r="C74" s="1213" t="s">
        <v>659</v>
      </c>
      <c r="D74" s="476">
        <v>7317448.0022155661</v>
      </c>
      <c r="E74" s="476">
        <v>6761986.1766746193</v>
      </c>
    </row>
    <row r="75" spans="1:6">
      <c r="A75" s="348" t="s">
        <v>65</v>
      </c>
      <c r="B75" s="348" t="s">
        <v>656</v>
      </c>
      <c r="C75" s="1213" t="s">
        <v>660</v>
      </c>
      <c r="D75" s="476">
        <v>13198950</v>
      </c>
      <c r="E75" s="476">
        <v>11350938.995913869</v>
      </c>
    </row>
    <row r="76" spans="1:6">
      <c r="A76" s="348" t="s">
        <v>65</v>
      </c>
      <c r="B76" s="348" t="s">
        <v>657</v>
      </c>
      <c r="C76" s="1213" t="s">
        <v>661</v>
      </c>
      <c r="D76" s="476">
        <v>479017.002215566</v>
      </c>
      <c r="E76" s="476">
        <v>427051.48505523405</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334803.99556886806</v>
      </c>
      <c r="C83" s="476">
        <v>342353.46597260184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2964.2231122209496</v>
      </c>
    </row>
    <row r="92" spans="1:6">
      <c r="A92" s="341" t="s">
        <v>69</v>
      </c>
      <c r="B92" s="342">
        <v>3731.1118563935188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639</v>
      </c>
    </row>
    <row r="98" spans="1:6">
      <c r="A98" s="348" t="s">
        <v>72</v>
      </c>
      <c r="B98" s="334">
        <v>2</v>
      </c>
    </row>
    <row r="99" spans="1:6">
      <c r="A99" s="348" t="s">
        <v>73</v>
      </c>
      <c r="B99" s="334">
        <v>37</v>
      </c>
    </row>
    <row r="100" spans="1:6">
      <c r="A100" s="348" t="s">
        <v>74</v>
      </c>
      <c r="B100" s="334">
        <v>82</v>
      </c>
    </row>
    <row r="101" spans="1:6">
      <c r="A101" s="348" t="s">
        <v>75</v>
      </c>
      <c r="B101" s="334">
        <v>36</v>
      </c>
    </row>
    <row r="102" spans="1:6">
      <c r="A102" s="348" t="s">
        <v>76</v>
      </c>
      <c r="B102" s="334">
        <v>43</v>
      </c>
    </row>
    <row r="103" spans="1:6">
      <c r="A103" s="348" t="s">
        <v>77</v>
      </c>
      <c r="B103" s="334">
        <v>138</v>
      </c>
    </row>
    <row r="104" spans="1:6">
      <c r="A104" s="348" t="s">
        <v>78</v>
      </c>
      <c r="B104" s="334">
        <v>2871</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19</v>
      </c>
    </row>
    <row r="124" spans="1:6">
      <c r="A124" s="341" t="s">
        <v>89</v>
      </c>
      <c r="B124" s="334">
        <v>0</v>
      </c>
      <c r="C124" s="334">
        <v>5</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2</v>
      </c>
    </row>
    <row r="131" spans="1:6">
      <c r="A131" s="348" t="s">
        <v>296</v>
      </c>
      <c r="B131" s="334">
        <v>0</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52264.981641066064</v>
      </c>
      <c r="C3" s="43" t="s">
        <v>170</v>
      </c>
      <c r="D3" s="43"/>
      <c r="E3" s="154"/>
      <c r="F3" s="43"/>
      <c r="G3" s="43"/>
      <c r="H3" s="43"/>
      <c r="I3" s="43"/>
      <c r="J3" s="43"/>
      <c r="K3" s="96"/>
    </row>
    <row r="4" spans="1:11">
      <c r="A4" s="383" t="s">
        <v>171</v>
      </c>
      <c r="B4" s="49">
        <f>IF(ISERROR('SEAP template'!B69),0,'SEAP template'!B69)</f>
        <v>6740.3349686144684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10.694117647058825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0.19270342619512737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15.277310924369752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64.285714285714292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550.84900000000005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550.84900000000005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0.19270342619512737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106.15048961615973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14747.102400000002</v>
      </c>
      <c r="C5" s="17">
        <f>IF(ISERROR('Eigen informatie GS &amp; warmtenet'!B57),0,'Eigen informatie GS &amp; warmtenet'!B57)</f>
        <v>0</v>
      </c>
      <c r="D5" s="30">
        <f>(SUM(HH_hh_gas_kWh,HH_rest_gas_kWh)/1000)*0.902</f>
        <v>27621.1493085</v>
      </c>
      <c r="E5" s="17">
        <f>B46*B57</f>
        <v>3649.2072664802567</v>
      </c>
      <c r="F5" s="17">
        <f>B51*B62</f>
        <v>43849.579913362097</v>
      </c>
      <c r="G5" s="18"/>
      <c r="H5" s="17"/>
      <c r="I5" s="17"/>
      <c r="J5" s="17">
        <f>B50*B61+C50*C61</f>
        <v>253.87435416630447</v>
      </c>
      <c r="K5" s="17"/>
      <c r="L5" s="17"/>
      <c r="M5" s="17"/>
      <c r="N5" s="17">
        <f>B48*B59+C48*C59</f>
        <v>12100.184037772624</v>
      </c>
      <c r="O5" s="17">
        <f>B69*B70*B71</f>
        <v>162.58666666666667</v>
      </c>
      <c r="P5" s="17">
        <f>B77*B78*B79/1000-B77*B78*B79/1000/B80</f>
        <v>819.86666666666667</v>
      </c>
    </row>
    <row r="6" spans="1:16">
      <c r="A6" s="16" t="s">
        <v>621</v>
      </c>
      <c r="B6" s="843">
        <f>kWh_PV_kleiner_dan_10kW</f>
        <v>2964.2231122209496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17711.325512220952</v>
      </c>
      <c r="C8" s="21">
        <f>C5</f>
        <v>0</v>
      </c>
      <c r="D8" s="21">
        <f>D5</f>
        <v>27621.1493085</v>
      </c>
      <c r="E8" s="21">
        <f>E5</f>
        <v>3649.2072664802567</v>
      </c>
      <c r="F8" s="21">
        <f>F5</f>
        <v>43849.579913362097</v>
      </c>
      <c r="G8" s="21"/>
      <c r="H8" s="21"/>
      <c r="I8" s="21"/>
      <c r="J8" s="21">
        <f>J5</f>
        <v>253.87435416630447</v>
      </c>
      <c r="K8" s="21"/>
      <c r="L8" s="21">
        <f>L5</f>
        <v>0</v>
      </c>
      <c r="M8" s="21">
        <f>M5</f>
        <v>0</v>
      </c>
      <c r="N8" s="21">
        <f>N5</f>
        <v>12100.184037772624</v>
      </c>
      <c r="O8" s="21">
        <f>O5</f>
        <v>162.58666666666667</v>
      </c>
      <c r="P8" s="21">
        <f>P5</f>
        <v>819.86666666666667</v>
      </c>
    </row>
    <row r="9" spans="1:16">
      <c r="B9" s="19"/>
      <c r="C9" s="19"/>
      <c r="D9" s="258"/>
      <c r="E9" s="19"/>
      <c r="F9" s="19"/>
      <c r="G9" s="19"/>
      <c r="H9" s="19"/>
      <c r="I9" s="19"/>
      <c r="J9" s="19"/>
      <c r="K9" s="19"/>
      <c r="L9" s="19"/>
      <c r="M9" s="19"/>
      <c r="N9" s="19"/>
      <c r="O9" s="19"/>
      <c r="P9" s="19"/>
    </row>
    <row r="10" spans="1:16">
      <c r="A10" s="24" t="s">
        <v>214</v>
      </c>
      <c r="B10" s="25">
        <f ca="1">'EF ele_warmte'!B12</f>
        <v>0.19270342619512737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3413.0331086621468</v>
      </c>
      <c r="C12" s="23">
        <f ca="1">C10*C8</f>
        <v>0</v>
      </c>
      <c r="D12" s="23">
        <f>D8*D10</f>
        <v>5579.4721603170001</v>
      </c>
      <c r="E12" s="23">
        <f>E10*E8</f>
        <v>828.37004949101834</v>
      </c>
      <c r="F12" s="23">
        <f>F10*F8</f>
        <v>11707.83783686768</v>
      </c>
      <c r="G12" s="23"/>
      <c r="H12" s="23"/>
      <c r="I12" s="23"/>
      <c r="J12" s="23">
        <f>J10*J8</f>
        <v>89.871521374871776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639</v>
      </c>
      <c r="C18" s="166" t="s">
        <v>111</v>
      </c>
      <c r="D18" s="228"/>
      <c r="E18" s="15"/>
    </row>
    <row r="19" spans="1:7">
      <c r="A19" s="171" t="s">
        <v>72</v>
      </c>
      <c r="B19" s="37">
        <f>aantalw2001_ander</f>
        <v>2</v>
      </c>
      <c r="C19" s="166" t="s">
        <v>111</v>
      </c>
      <c r="D19" s="229"/>
      <c r="E19" s="15"/>
    </row>
    <row r="20" spans="1:7">
      <c r="A20" s="171" t="s">
        <v>73</v>
      </c>
      <c r="B20" s="37">
        <f>aantalw2001_propaan</f>
        <v>37</v>
      </c>
      <c r="C20" s="167">
        <f>IF(ISERROR(B20/SUM($B$20,$B$21,$B$22)*100),0,B20/SUM($B$20,$B$21,$B$22)*100)</f>
        <v>23.870967741935484</v>
      </c>
      <c r="D20" s="229"/>
      <c r="E20" s="15"/>
    </row>
    <row r="21" spans="1:7">
      <c r="A21" s="171" t="s">
        <v>74</v>
      </c>
      <c r="B21" s="37">
        <f>aantalw2001_elektriciteit</f>
        <v>82</v>
      </c>
      <c r="C21" s="167">
        <f>IF(ISERROR(B21/SUM($B$20,$B$21,$B$22)*100),0,B21/SUM($B$20,$B$21,$B$22)*100)</f>
        <v>52.903225806451616</v>
      </c>
      <c r="D21" s="229"/>
      <c r="E21" s="15"/>
    </row>
    <row r="22" spans="1:7">
      <c r="A22" s="171" t="s">
        <v>75</v>
      </c>
      <c r="B22" s="37">
        <f>aantalw2001_hout</f>
        <v>36</v>
      </c>
      <c r="C22" s="167">
        <f>IF(ISERROR(B22/SUM($B$20,$B$21,$B$22)*100),0,B22/SUM($B$20,$B$21,$B$22)*100)</f>
        <v>23.225806451612904</v>
      </c>
      <c r="D22" s="229"/>
      <c r="E22" s="15"/>
    </row>
    <row r="23" spans="1:7">
      <c r="A23" s="171" t="s">
        <v>76</v>
      </c>
      <c r="B23" s="37">
        <f>aantalw2001_niet_gespec</f>
        <v>43</v>
      </c>
      <c r="C23" s="166" t="s">
        <v>111</v>
      </c>
      <c r="D23" s="228"/>
      <c r="E23" s="15"/>
    </row>
    <row r="24" spans="1:7">
      <c r="A24" s="171" t="s">
        <v>77</v>
      </c>
      <c r="B24" s="37">
        <f>aantalw2001_steenkool</f>
        <v>138</v>
      </c>
      <c r="C24" s="166" t="s">
        <v>111</v>
      </c>
      <c r="D24" s="229"/>
      <c r="E24" s="15"/>
    </row>
    <row r="25" spans="1:7">
      <c r="A25" s="171" t="s">
        <v>78</v>
      </c>
      <c r="B25" s="37">
        <f>aantalw2001_stookolie</f>
        <v>2871</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4413</v>
      </c>
      <c r="C28" s="36"/>
      <c r="D28" s="228"/>
    </row>
    <row r="29" spans="1:7" s="15" customFormat="1">
      <c r="A29" s="230" t="s">
        <v>795</v>
      </c>
      <c r="B29" s="37">
        <f>SUM(HH_hh_gas_aantal,HH_rest_gas_aantal)</f>
        <v>1947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1947</v>
      </c>
      <c r="C32" s="167">
        <f>IF(ISERROR(B32/SUM($B$32,$B$34,$B$35,$B$36,$B$38,$B$39)*100),0,B32/SUM($B$32,$B$34,$B$35,$B$36,$B$38,$B$39)*100)</f>
        <v>44.553775743707092</v>
      </c>
      <c r="D32" s="233"/>
      <c r="G32" s="15"/>
    </row>
    <row r="33" spans="1:7">
      <c r="A33" s="171" t="s">
        <v>72</v>
      </c>
      <c r="B33" s="34" t="s">
        <v>111</v>
      </c>
      <c r="C33" s="167"/>
      <c r="D33" s="233"/>
      <c r="G33" s="15"/>
    </row>
    <row r="34" spans="1:7">
      <c r="A34" s="171" t="s">
        <v>73</v>
      </c>
      <c r="B34" s="33">
        <f>IF((($B$28-$B$32-$B$39-$B$77-$B$38)*C20/100)&lt;0,0,($B$28-$B$32-$B$39-$B$77-$B$38)*C20/100)</f>
        <v>172.34838709677422</v>
      </c>
      <c r="C34" s="167">
        <f>IF(ISERROR(B34/SUM($B$32,$B$34,$B$35,$B$36,$B$38,$B$39)*100),0,B34/SUM($B$32,$B$34,$B$35,$B$36,$B$38,$B$39)*100)</f>
        <v>3.9438990182328193</v>
      </c>
      <c r="D34" s="233"/>
      <c r="G34" s="15"/>
    </row>
    <row r="35" spans="1:7">
      <c r="A35" s="171" t="s">
        <v>74</v>
      </c>
      <c r="B35" s="33">
        <f>IF((($B$28-$B$32-$B$39-$B$77-$B$38)*C21/100)&lt;0,0,($B$28-$B$32-$B$39-$B$77-$B$38)*C21/100)</f>
        <v>381.96129032258068</v>
      </c>
      <c r="C35" s="167">
        <f>IF(ISERROR(B35/SUM($B$32,$B$34,$B$35,$B$36,$B$38,$B$39)*100),0,B35/SUM($B$32,$B$34,$B$35,$B$36,$B$38,$B$39)*100)</f>
        <v>8.7405329593267904</v>
      </c>
      <c r="D35" s="233"/>
      <c r="G35" s="15"/>
    </row>
    <row r="36" spans="1:7">
      <c r="A36" s="171" t="s">
        <v>75</v>
      </c>
      <c r="B36" s="33">
        <f>IF((($B$28-$B$32-$B$39-$B$77-$B$38)*C22/100)&lt;0,0,($B$28-$B$32-$B$39-$B$77-$B$38)*C22/100)</f>
        <v>167.69032258064516</v>
      </c>
      <c r="C36" s="167">
        <f>IF(ISERROR(B36/SUM($B$32,$B$34,$B$35,$B$36,$B$38,$B$39)*100),0,B36/SUM($B$32,$B$34,$B$35,$B$36,$B$38,$B$39)*100)</f>
        <v>3.8373071528751752</v>
      </c>
      <c r="D36" s="233"/>
      <c r="G36" s="15"/>
    </row>
    <row r="37" spans="1:7">
      <c r="A37" s="171" t="s">
        <v>76</v>
      </c>
      <c r="B37" s="34" t="s">
        <v>111</v>
      </c>
      <c r="C37" s="167"/>
      <c r="D37" s="173"/>
      <c r="G37" s="15"/>
    </row>
    <row r="38" spans="1:7">
      <c r="A38" s="171" t="s">
        <v>77</v>
      </c>
      <c r="B38" s="33">
        <f>IF((B24-(B29-B18)*0.1)&lt;0,0,B24-(B29-B18)*0.1)</f>
        <v>7.1999999999999886</v>
      </c>
      <c r="C38" s="167">
        <f>IF(ISERROR(B38/SUM($B$32,$B$34,$B$35,$B$36,$B$38,$B$39)*100),0,B38/SUM($B$32,$B$34,$B$35,$B$36,$B$38,$B$39)*100)</f>
        <v>0.16475972540045741</v>
      </c>
      <c r="D38" s="234"/>
      <c r="G38" s="15"/>
    </row>
    <row r="39" spans="1:7">
      <c r="A39" s="171" t="s">
        <v>78</v>
      </c>
      <c r="B39" s="33">
        <f>IF((B25-(B29-B18))&lt;0,0,B25-(B29-B18)*0.9)</f>
        <v>1693.8</v>
      </c>
      <c r="C39" s="167">
        <f>IF(ISERROR(B39/SUM($B$32,$B$34,$B$35,$B$36,$B$38,$B$39)*100),0,B39/SUM($B$32,$B$34,$B$35,$B$36,$B$38,$B$39)*100)</f>
        <v>38.759725400457668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1947</v>
      </c>
      <c r="C44" s="34" t="s">
        <v>111</v>
      </c>
      <c r="D44" s="174"/>
    </row>
    <row r="45" spans="1:7">
      <c r="A45" s="171" t="s">
        <v>72</v>
      </c>
      <c r="B45" s="33" t="str">
        <f t="shared" si="0"/>
        <v>-</v>
      </c>
      <c r="C45" s="34" t="s">
        <v>111</v>
      </c>
      <c r="D45" s="174"/>
    </row>
    <row r="46" spans="1:7">
      <c r="A46" s="171" t="s">
        <v>73</v>
      </c>
      <c r="B46" s="33">
        <f t="shared" si="0"/>
        <v>172.34838709677422</v>
      </c>
      <c r="C46" s="34" t="s">
        <v>111</v>
      </c>
      <c r="D46" s="174"/>
    </row>
    <row r="47" spans="1:7">
      <c r="A47" s="171" t="s">
        <v>74</v>
      </c>
      <c r="B47" s="33">
        <f t="shared" si="0"/>
        <v>381.96129032258068</v>
      </c>
      <c r="C47" s="34" t="s">
        <v>111</v>
      </c>
      <c r="D47" s="174"/>
    </row>
    <row r="48" spans="1:7">
      <c r="A48" s="171" t="s">
        <v>75</v>
      </c>
      <c r="B48" s="33">
        <f t="shared" si="0"/>
        <v>167.69032258064516</v>
      </c>
      <c r="C48" s="33">
        <f>B48*10</f>
        <v>1676.9032258064517</v>
      </c>
      <c r="D48" s="234"/>
    </row>
    <row r="49" spans="1:6">
      <c r="A49" s="171" t="s">
        <v>76</v>
      </c>
      <c r="B49" s="33" t="str">
        <f t="shared" si="0"/>
        <v>-</v>
      </c>
      <c r="C49" s="34" t="s">
        <v>111</v>
      </c>
      <c r="D49" s="234"/>
    </row>
    <row r="50" spans="1:6">
      <c r="A50" s="171" t="s">
        <v>77</v>
      </c>
      <c r="B50" s="33">
        <f t="shared" si="0"/>
        <v>7.1999999999999886</v>
      </c>
      <c r="C50" s="33">
        <f>B50*2</f>
        <v>14.399999999999977</v>
      </c>
      <c r="D50" s="234"/>
    </row>
    <row r="51" spans="1:6">
      <c r="A51" s="171" t="s">
        <v>78</v>
      </c>
      <c r="B51" s="33">
        <f t="shared" si="0"/>
        <v>1693.8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20779.390049999998</v>
      </c>
      <c r="C5" s="17">
        <f>IF(ISERROR('Eigen informatie GS &amp; warmtenet'!B58),0,'Eigen informatie GS &amp; warmtenet'!B58)</f>
        <v>0</v>
      </c>
      <c r="D5" s="30">
        <f>SUM(D6:D12)</f>
        <v>9717.9566857999998</v>
      </c>
      <c r="E5" s="17">
        <f>SUM(E6:E12)</f>
        <v>428.779154413713</v>
      </c>
      <c r="F5" s="17">
        <f>SUM(F6:F12)</f>
        <v>3790.2278483461287</v>
      </c>
      <c r="G5" s="18"/>
      <c r="H5" s="17"/>
      <c r="I5" s="17"/>
      <c r="J5" s="17">
        <f>SUM(J6:J12)</f>
        <v>4.1900592209894456E-2</v>
      </c>
      <c r="K5" s="17"/>
      <c r="L5" s="17"/>
      <c r="M5" s="17"/>
      <c r="N5" s="17">
        <f>SUM(N6:N12)</f>
        <v>1668.5811029325248</v>
      </c>
      <c r="O5" s="17">
        <f>B38*B39*B40</f>
        <v>3.1266666666666669</v>
      </c>
      <c r="P5" s="17">
        <f>B46*B47*B48/1000-B46*B47*B48/1000/B49</f>
        <v>0</v>
      </c>
      <c r="R5" s="32"/>
    </row>
    <row r="6" spans="1:18">
      <c r="A6" s="32" t="s">
        <v>54</v>
      </c>
      <c r="B6" s="37">
        <f>B26</f>
        <v>5748.3229499999998</v>
      </c>
      <c r="C6" s="33"/>
      <c r="D6" s="37">
        <f>IF(ISERROR(TER_kantoor_gas_kWh/1000),0,TER_kantoor_gas_kWh/1000)*0.902</f>
        <v>1926.2690766000005</v>
      </c>
      <c r="E6" s="33">
        <f>$C$26*'E Balans VL '!I12/100/3.6*1000000</f>
        <v>3.6028576388338847E-2</v>
      </c>
      <c r="F6" s="33">
        <f>$C$26*('E Balans VL '!L12+'E Balans VL '!N12)/100/3.6*1000000</f>
        <v>863.81231592251288</v>
      </c>
      <c r="G6" s="34"/>
      <c r="H6" s="33"/>
      <c r="I6" s="33"/>
      <c r="J6" s="33">
        <f>$C$26*('E Balans VL '!D12+'E Balans VL '!E12)/100/3.6*1000000</f>
        <v>0</v>
      </c>
      <c r="K6" s="33"/>
      <c r="L6" s="33"/>
      <c r="M6" s="33"/>
      <c r="N6" s="33">
        <f>$C$26*'E Balans VL '!Y12/100/3.6*1000000</f>
        <v>5.4974186192646401</v>
      </c>
      <c r="O6" s="33"/>
      <c r="P6" s="33"/>
      <c r="R6" s="32"/>
    </row>
    <row r="7" spans="1:18">
      <c r="A7" s="32" t="s">
        <v>53</v>
      </c>
      <c r="B7" s="37">
        <f t="shared" ref="B7:B12" si="0">B27</f>
        <v>1153.63455</v>
      </c>
      <c r="C7" s="33"/>
      <c r="D7" s="37">
        <f>IF(ISERROR(TER_horeca_gas_kWh/1000),0,TER_horeca_gas_kWh/1000)*0.902</f>
        <v>2135.5450731999999</v>
      </c>
      <c r="E7" s="33">
        <f>$C$27*'E Balans VL '!I9/100/3.6*1000000</f>
        <v>16.519854597166724</v>
      </c>
      <c r="F7" s="33">
        <f>$C$27*('E Balans VL '!L9+'E Balans VL '!N9)/100/3.6*1000000</f>
        <v>146.0881823633039</v>
      </c>
      <c r="G7" s="34"/>
      <c r="H7" s="33"/>
      <c r="I7" s="33"/>
      <c r="J7" s="33">
        <f>$C$27*('E Balans VL '!D9+'E Balans VL '!E9)/100/3.6*1000000</f>
        <v>0</v>
      </c>
      <c r="K7" s="33"/>
      <c r="L7" s="33"/>
      <c r="M7" s="33"/>
      <c r="N7" s="33">
        <f>$C$27*'E Balans VL '!Y9/100/3.6*1000000</f>
        <v>0.33164449766654369</v>
      </c>
      <c r="O7" s="33"/>
      <c r="P7" s="33"/>
      <c r="R7" s="32"/>
    </row>
    <row r="8" spans="1:18">
      <c r="A8" s="6" t="s">
        <v>52</v>
      </c>
      <c r="B8" s="37">
        <f t="shared" si="0"/>
        <v>11172.081550000001</v>
      </c>
      <c r="C8" s="33"/>
      <c r="D8" s="37">
        <f>IF(ISERROR(TER_handel_gas_kWh/1000),0,TER_handel_gas_kWh/1000)*0.902</f>
        <v>1073.7687620000002</v>
      </c>
      <c r="E8" s="33">
        <f>$C$28*'E Balans VL '!I13/100/3.6*1000000</f>
        <v>405.21002013912556</v>
      </c>
      <c r="F8" s="33">
        <f>$C$28*('E Balans VL '!L13+'E Balans VL '!N13)/100/3.6*1000000</f>
        <v>2151.8560310479265</v>
      </c>
      <c r="G8" s="34"/>
      <c r="H8" s="33"/>
      <c r="I8" s="33"/>
      <c r="J8" s="33">
        <f>$C$28*('E Balans VL '!D13+'E Balans VL '!E13)/100/3.6*1000000</f>
        <v>0</v>
      </c>
      <c r="K8" s="33"/>
      <c r="L8" s="33"/>
      <c r="M8" s="33"/>
      <c r="N8" s="33">
        <f>$C$28*'E Balans VL '!Y13/100/3.6*1000000</f>
        <v>15.475903528070166</v>
      </c>
      <c r="O8" s="33"/>
      <c r="P8" s="33"/>
      <c r="R8" s="32"/>
    </row>
    <row r="9" spans="1:18">
      <c r="A9" s="32" t="s">
        <v>51</v>
      </c>
      <c r="B9" s="37">
        <f t="shared" si="0"/>
        <v>464.60199999999998</v>
      </c>
      <c r="C9" s="33"/>
      <c r="D9" s="37">
        <f>IF(ISERROR(TER_gezond_gas_kWh/1000),0,TER_gezond_gas_kWh/1000)*0.902</f>
        <v>1474.5715600000001</v>
      </c>
      <c r="E9" s="33">
        <f>$C$29*'E Balans VL '!I10/100/3.6*1000000</f>
        <v>2.9088672316039565E-2</v>
      </c>
      <c r="F9" s="33">
        <f>$C$29*('E Balans VL '!L10+'E Balans VL '!N10)/100/3.6*1000000</f>
        <v>69.018041678372668</v>
      </c>
      <c r="G9" s="34"/>
      <c r="H9" s="33"/>
      <c r="I9" s="33"/>
      <c r="J9" s="33">
        <f>$C$29*('E Balans VL '!D10+'E Balans VL '!E10)/100/3.6*1000000</f>
        <v>0</v>
      </c>
      <c r="K9" s="33"/>
      <c r="L9" s="33"/>
      <c r="M9" s="33"/>
      <c r="N9" s="33">
        <f>$C$29*'E Balans VL '!Y10/100/3.6*1000000</f>
        <v>7.1865085662609003</v>
      </c>
      <c r="O9" s="33"/>
      <c r="P9" s="33"/>
      <c r="R9" s="32"/>
    </row>
    <row r="10" spans="1:18">
      <c r="A10" s="32" t="s">
        <v>50</v>
      </c>
      <c r="B10" s="37">
        <f t="shared" si="0"/>
        <v>1930.3620000000001</v>
      </c>
      <c r="C10" s="33"/>
      <c r="D10" s="37">
        <f>IF(ISERROR(TER_ander_gas_kWh/1000),0,TER_ander_gas_kWh/1000)*0.902</f>
        <v>1557.3471979999999</v>
      </c>
      <c r="E10" s="33">
        <f>$C$30*'E Balans VL '!I14/100/3.6*1000000</f>
        <v>2.3009225245176048</v>
      </c>
      <c r="F10" s="33">
        <f>$C$30*('E Balans VL '!L14+'E Balans VL '!N14)/100/3.6*1000000</f>
        <v>505.06851635417104</v>
      </c>
      <c r="G10" s="34"/>
      <c r="H10" s="33"/>
      <c r="I10" s="33"/>
      <c r="J10" s="33">
        <f>$C$30*('E Balans VL '!D14+'E Balans VL '!E14)/100/3.6*1000000</f>
        <v>4.1900592209894456E-2</v>
      </c>
      <c r="K10" s="33"/>
      <c r="L10" s="33"/>
      <c r="M10" s="33"/>
      <c r="N10" s="33">
        <f>$C$30*'E Balans VL '!Y14/100/3.6*1000000</f>
        <v>1639.2161751067442</v>
      </c>
      <c r="O10" s="33"/>
      <c r="P10" s="33"/>
      <c r="R10" s="32"/>
    </row>
    <row r="11" spans="1:18">
      <c r="A11" s="32" t="s">
        <v>55</v>
      </c>
      <c r="B11" s="37">
        <f t="shared" si="0"/>
        <v>310.387</v>
      </c>
      <c r="C11" s="33"/>
      <c r="D11" s="37">
        <f>IF(ISERROR(TER_onderwijs_gas_kWh/1000),0,TER_onderwijs_gas_kWh/1000)*0.902</f>
        <v>1550.4550159999999</v>
      </c>
      <c r="E11" s="33">
        <f>$C$31*'E Balans VL '!I11/100/3.6*1000000</f>
        <v>4.6832399041987083</v>
      </c>
      <c r="F11" s="33">
        <f>$C$31*('E Balans VL '!L11+'E Balans VL '!N11)/100/3.6*1000000</f>
        <v>54.38476097984109</v>
      </c>
      <c r="G11" s="34"/>
      <c r="H11" s="33"/>
      <c r="I11" s="33"/>
      <c r="J11" s="33">
        <f>$C$31*('E Balans VL '!D11+'E Balans VL '!E11)/100/3.6*1000000</f>
        <v>0</v>
      </c>
      <c r="K11" s="33"/>
      <c r="L11" s="33"/>
      <c r="M11" s="33"/>
      <c r="N11" s="33">
        <f>$C$31*'E Balans VL '!Y11/100/3.6*1000000</f>
        <v>0.87345261451833955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20779.390049999998</v>
      </c>
      <c r="C16" s="21">
        <f t="shared" ca="1" si="1"/>
        <v>0</v>
      </c>
      <c r="D16" s="21">
        <f t="shared" ca="1" si="1"/>
        <v>9717.9566857999998</v>
      </c>
      <c r="E16" s="21">
        <f t="shared" si="1"/>
        <v>428.779154413713</v>
      </c>
      <c r="F16" s="21">
        <f t="shared" ca="1" si="1"/>
        <v>3790.2278483461287</v>
      </c>
      <c r="G16" s="21">
        <f t="shared" si="1"/>
        <v>0</v>
      </c>
      <c r="H16" s="21">
        <f t="shared" si="1"/>
        <v>0</v>
      </c>
      <c r="I16" s="21">
        <f t="shared" si="1"/>
        <v>0</v>
      </c>
      <c r="J16" s="21">
        <f t="shared" si="1"/>
        <v>4.1900592209894456E-2</v>
      </c>
      <c r="K16" s="21">
        <f t="shared" si="1"/>
        <v>0</v>
      </c>
      <c r="L16" s="21">
        <f t="shared" ca="1" si="1"/>
        <v>0</v>
      </c>
      <c r="M16" s="21">
        <f t="shared" si="1"/>
        <v>0</v>
      </c>
      <c r="N16" s="21">
        <f t="shared" ca="1" si="1"/>
        <v>1668.5811029325248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0.19270342619512737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4004.2596568799386</v>
      </c>
      <c r="C20" s="23">
        <f t="shared" ref="C20:P20" ca="1" si="2">C16*C18</f>
        <v>0</v>
      </c>
      <c r="D20" s="23">
        <f t="shared" ca="1" si="2"/>
        <v>1963.0272505316002</v>
      </c>
      <c r="E20" s="23">
        <f t="shared" si="2"/>
        <v>97.332868051912854</v>
      </c>
      <c r="F20" s="23">
        <f t="shared" ca="1" si="2"/>
        <v>1011.9908355084165</v>
      </c>
      <c r="G20" s="23">
        <f t="shared" si="2"/>
        <v>0</v>
      </c>
      <c r="H20" s="23">
        <f t="shared" si="2"/>
        <v>0</v>
      </c>
      <c r="I20" s="23">
        <f t="shared" si="2"/>
        <v>0</v>
      </c>
      <c r="J20" s="23">
        <f t="shared" si="2"/>
        <v>1.4832809642302637E-2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5748.3229499999998</v>
      </c>
      <c r="C26" s="39">
        <f>IF(ISERROR(B26*3.6/1000000/'E Balans VL '!Z12*100),0,B26*3.6/1000000/'E Balans VL '!Z12*100)</f>
        <v>0.12151044108390302</v>
      </c>
      <c r="D26" s="237" t="s">
        <v>754</v>
      </c>
      <c r="F26" s="6"/>
    </row>
    <row r="27" spans="1:18">
      <c r="A27" s="231" t="s">
        <v>53</v>
      </c>
      <c r="B27" s="33">
        <f>IF(ISERROR(TER_horeca_ele_kWh/1000),0,TER_horeca_ele_kWh/1000)</f>
        <v>1153.63455</v>
      </c>
      <c r="C27" s="39">
        <f>IF(ISERROR(B27*3.6/1000000/'E Balans VL '!Z9*100),0,B27*3.6/1000000/'E Balans VL '!Z9*100)</f>
        <v>9.0940581594951858E-2</v>
      </c>
      <c r="D27" s="237" t="s">
        <v>754</v>
      </c>
      <c r="F27" s="6"/>
    </row>
    <row r="28" spans="1:18">
      <c r="A28" s="171" t="s">
        <v>52</v>
      </c>
      <c r="B28" s="33">
        <f>IF(ISERROR(TER_handel_ele_kWh/1000),0,TER_handel_ele_kWh/1000)</f>
        <v>11172.081550000001</v>
      </c>
      <c r="C28" s="39">
        <f>IF(ISERROR(B28*3.6/1000000/'E Balans VL '!Z13*100),0,B28*3.6/1000000/'E Balans VL '!Z13*100)</f>
        <v>0.3242589468487046</v>
      </c>
      <c r="D28" s="237" t="s">
        <v>754</v>
      </c>
      <c r="F28" s="6"/>
    </row>
    <row r="29" spans="1:18">
      <c r="A29" s="231" t="s">
        <v>51</v>
      </c>
      <c r="B29" s="33">
        <f>IF(ISERROR(TER_gezond_ele_kWh/1000),0,TER_gezond_ele_kWh/1000)</f>
        <v>464.60199999999998</v>
      </c>
      <c r="C29" s="39">
        <f>IF(ISERROR(B29*3.6/1000000/'E Balans VL '!Z10*100),0,B29*3.6/1000000/'E Balans VL '!Z10*100)</f>
        <v>4.8930219566215211E-2</v>
      </c>
      <c r="D29" s="237" t="s">
        <v>754</v>
      </c>
      <c r="F29" s="6"/>
    </row>
    <row r="30" spans="1:18">
      <c r="A30" s="231" t="s">
        <v>50</v>
      </c>
      <c r="B30" s="33">
        <f>IF(ISERROR(TER_ander_ele_kWh/1000),0,TER_ander_ele_kWh/1000)</f>
        <v>1930.3620000000001</v>
      </c>
      <c r="C30" s="39">
        <f>IF(ISERROR(B30*3.6/1000000/'E Balans VL '!Z14*100),0,B30*3.6/1000000/'E Balans VL '!Z14*100)</f>
        <v>0.1423839203925408</v>
      </c>
      <c r="D30" s="237" t="s">
        <v>754</v>
      </c>
      <c r="F30" s="6"/>
    </row>
    <row r="31" spans="1:18">
      <c r="A31" s="231" t="s">
        <v>55</v>
      </c>
      <c r="B31" s="33">
        <f>IF(ISERROR(TER_onderwijs_ele_kWh/1000),0,TER_onderwijs_ele_kWh/1000)</f>
        <v>310.387</v>
      </c>
      <c r="C31" s="39">
        <f>IF(ISERROR(B31*3.6/1000000/'E Balans VL '!Z11*100),0,B31*3.6/1000000/'E Balans VL '!Z11*100)</f>
        <v>7.7083631483334233E-2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9244.5586500000009</v>
      </c>
      <c r="C5" s="17">
        <f>IF(ISERROR('Eigen informatie GS &amp; warmtenet'!B59),0,'Eigen informatie GS &amp; warmtenet'!B59)</f>
        <v>0</v>
      </c>
      <c r="D5" s="30">
        <f>SUM(D6:D15)</f>
        <v>15148.464914000002</v>
      </c>
      <c r="E5" s="17">
        <f>SUM(E6:E15)</f>
        <v>610.17597677103538</v>
      </c>
      <c r="F5" s="17">
        <f>SUM(F6:F15)</f>
        <v>2311.8822761882252</v>
      </c>
      <c r="G5" s="18"/>
      <c r="H5" s="17"/>
      <c r="I5" s="17"/>
      <c r="J5" s="17">
        <f>SUM(J6:J15)</f>
        <v>1.6856903037123387</v>
      </c>
      <c r="K5" s="17"/>
      <c r="L5" s="17"/>
      <c r="M5" s="17"/>
      <c r="N5" s="17">
        <f>SUM(N6:N15)</f>
        <v>1294.373397325774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74.388999999999996</v>
      </c>
      <c r="C8" s="33"/>
      <c r="D8" s="37">
        <f>IF( ISERROR(IND_metaal_Gas_kWH/1000),0,IND_metaal_Gas_kWH/1000)*0.902</f>
        <v>0</v>
      </c>
      <c r="E8" s="33">
        <f>C30*'E Balans VL '!I18/100/3.6*1000000</f>
        <v>0.68393500942054652</v>
      </c>
      <c r="F8" s="33">
        <f>C30*'E Balans VL '!L18/100/3.6*1000000+C30*'E Balans VL '!N18/100/3.6*1000000</f>
        <v>6.9752115394910694</v>
      </c>
      <c r="G8" s="34"/>
      <c r="H8" s="33"/>
      <c r="I8" s="33"/>
      <c r="J8" s="40">
        <f>C30*'E Balans VL '!D18/100/3.6*1000000+C30*'E Balans VL '!E18/100/3.6*1000000</f>
        <v>0</v>
      </c>
      <c r="K8" s="33"/>
      <c r="L8" s="33"/>
      <c r="M8" s="33"/>
      <c r="N8" s="33">
        <f>C30*'E Balans VL '!Y18/100/3.6*1000000</f>
        <v>1.0612820179993374</v>
      </c>
      <c r="O8" s="33"/>
      <c r="P8" s="33"/>
      <c r="R8" s="32"/>
    </row>
    <row r="9" spans="1:18">
      <c r="A9" s="6" t="s">
        <v>33</v>
      </c>
      <c r="B9" s="37">
        <f t="shared" si="0"/>
        <v>1938.3916499999998</v>
      </c>
      <c r="C9" s="33"/>
      <c r="D9" s="37">
        <f>IF( ISERROR(IND_andere_gas_kWh/1000),0,IND_andere_gas_kWh/1000)*0.902</f>
        <v>960.11225200000001</v>
      </c>
      <c r="E9" s="33">
        <f>C31*'E Balans VL '!I19/100/3.6*1000000</f>
        <v>566.629615329486</v>
      </c>
      <c r="F9" s="33">
        <f>C31*'E Balans VL '!L19/100/3.6*1000000+C31*'E Balans VL '!N19/100/3.6*1000000</f>
        <v>1557.6444135411482</v>
      </c>
      <c r="G9" s="34"/>
      <c r="H9" s="33"/>
      <c r="I9" s="33"/>
      <c r="J9" s="40">
        <f>C31*'E Balans VL '!D19/100/3.6*1000000+C31*'E Balans VL '!E19/100/3.6*1000000</f>
        <v>0</v>
      </c>
      <c r="K9" s="33"/>
      <c r="L9" s="33"/>
      <c r="M9" s="33"/>
      <c r="N9" s="33">
        <f>C31*'E Balans VL '!Y19/100/3.6*1000000</f>
        <v>640.47466348307103</v>
      </c>
      <c r="O9" s="33"/>
      <c r="P9" s="33"/>
      <c r="R9" s="32"/>
    </row>
    <row r="10" spans="1:18">
      <c r="A10" s="6" t="s">
        <v>41</v>
      </c>
      <c r="B10" s="37">
        <f t="shared" si="0"/>
        <v>6205.9830000000002</v>
      </c>
      <c r="C10" s="33"/>
      <c r="D10" s="37">
        <f>IF( ISERROR(IND_voed_gas_kWh/1000),0,IND_voed_gas_kWh/1000)*0.902</f>
        <v>14097.393178</v>
      </c>
      <c r="E10" s="33">
        <f>C32*'E Balans VL '!I20/100/3.6*1000000</f>
        <v>13.128853261406091</v>
      </c>
      <c r="F10" s="33">
        <f>C32*'E Balans VL '!L20/100/3.6*1000000+C32*'E Balans VL '!N20/100/3.6*1000000</f>
        <v>394.5827383657396</v>
      </c>
      <c r="G10" s="34"/>
      <c r="H10" s="33"/>
      <c r="I10" s="33"/>
      <c r="J10" s="40">
        <f>C32*'E Balans VL '!D20/100/3.6*1000000+C32*'E Balans VL '!E20/100/3.6*1000000</f>
        <v>0</v>
      </c>
      <c r="K10" s="33"/>
      <c r="L10" s="33"/>
      <c r="M10" s="33"/>
      <c r="N10" s="33">
        <f>C32*'E Balans VL '!Y20/100/3.6*1000000</f>
        <v>428.27406913667005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1025.7950000000001</v>
      </c>
      <c r="C12" s="33"/>
      <c r="D12" s="37">
        <f>IF( ISERROR(IND_min_gas_kWh/1000),0,IND_min_gas_kWh/1000)*0.902</f>
        <v>90.959484000000003</v>
      </c>
      <c r="E12" s="33">
        <f>C34*'E Balans VL '!I22/100/3.6*1000000</f>
        <v>29.733573170722718</v>
      </c>
      <c r="F12" s="33">
        <f>C34*'E Balans VL '!L22/100/3.6*1000000+C34*'E Balans VL '!N22/100/3.6*1000000</f>
        <v>352.67991274184629</v>
      </c>
      <c r="G12" s="34"/>
      <c r="H12" s="33"/>
      <c r="I12" s="33"/>
      <c r="J12" s="40">
        <f>C34*'E Balans VL '!D22/100/3.6*1000000+C34*'E Balans VL '!E22/100/3.6*1000000</f>
        <v>1.6856903037123387</v>
      </c>
      <c r="K12" s="33"/>
      <c r="L12" s="33"/>
      <c r="M12" s="33"/>
      <c r="N12" s="33">
        <f>C34*'E Balans VL '!Y22/100/3.6*1000000</f>
        <v>224.56338268803336</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9244.5586500000009</v>
      </c>
      <c r="C18" s="21">
        <f>C5+C16</f>
        <v>0</v>
      </c>
      <c r="D18" s="21">
        <f>MAX((D5+D16),0)</f>
        <v>15148.464914000002</v>
      </c>
      <c r="E18" s="21">
        <f>MAX((E5+E16),0)</f>
        <v>610.17597677103538</v>
      </c>
      <c r="F18" s="21">
        <f>MAX((F5+F16),0)</f>
        <v>2311.8822761882252</v>
      </c>
      <c r="G18" s="21"/>
      <c r="H18" s="21"/>
      <c r="I18" s="21"/>
      <c r="J18" s="21">
        <f>MAX((J5+J16),0)</f>
        <v>1.6856903037123387</v>
      </c>
      <c r="K18" s="21"/>
      <c r="L18" s="21">
        <f>MAX((L5+L16),0)</f>
        <v>0</v>
      </c>
      <c r="M18" s="21"/>
      <c r="N18" s="21">
        <f>MAX((N5+N16),0)</f>
        <v>1294.373397325774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0.19270342619512737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1781.4581255168014</v>
      </c>
      <c r="C22" s="23">
        <f ca="1">C18*C20</f>
        <v>0</v>
      </c>
      <c r="D22" s="23">
        <f>D18*D20</f>
        <v>3059.9899126280006</v>
      </c>
      <c r="E22" s="23">
        <f>E18*E20</f>
        <v>138.50994672702504</v>
      </c>
      <c r="F22" s="23">
        <f>F18*F20</f>
        <v>617.27256774225611</v>
      </c>
      <c r="G22" s="23"/>
      <c r="H22" s="23"/>
      <c r="I22" s="23"/>
      <c r="J22" s="23">
        <f>J18*J20</f>
        <v>0.59673436751416786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74.388999999999996</v>
      </c>
      <c r="C30" s="39">
        <f>IF(ISERROR(B30*3.6/1000000/'E Balans VL '!Z18*100),0,B30*3.6/1000000/'E Balans VL '!Z18*100)</f>
        <v>4.215815375871703E-3</v>
      </c>
      <c r="D30" s="237" t="s">
        <v>754</v>
      </c>
    </row>
    <row r="31" spans="1:18">
      <c r="A31" s="6" t="s">
        <v>33</v>
      </c>
      <c r="B31" s="37">
        <f>IF( ISERROR(IND_ander_ele_kWh/1000),0,IND_ander_ele_kWh/1000)</f>
        <v>1938.3916499999998</v>
      </c>
      <c r="C31" s="39">
        <f>IF(ISERROR(B31*3.6/1000000/'E Balans VL '!Z19*100),0,B31*3.6/1000000/'E Balans VL '!Z19*100)</f>
        <v>8.7917373921648292E-2</v>
      </c>
      <c r="D31" s="237" t="s">
        <v>754</v>
      </c>
    </row>
    <row r="32" spans="1:18">
      <c r="A32" s="171" t="s">
        <v>41</v>
      </c>
      <c r="B32" s="37">
        <f>IF( ISERROR(IND_voed_ele_kWh/1000),0,IND_voed_ele_kWh/1000)</f>
        <v>6205.9830000000002</v>
      </c>
      <c r="C32" s="39">
        <f>IF(ISERROR(B32*3.6/1000000/'E Balans VL '!Z20*100),0,B32*3.6/1000000/'E Balans VL '!Z20*100)</f>
        <v>0.1919792269740371</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1025.7950000000001</v>
      </c>
      <c r="C34" s="39">
        <f>IF(ISERROR(B34*3.6/1000000/'E Balans VL '!Z22*100),0,B34*3.6/1000000/'E Balans VL '!Z22*100)</f>
        <v>0.18450851606459243</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3949.4110000000001</v>
      </c>
      <c r="C5" s="17">
        <f>'Eigen informatie GS &amp; warmtenet'!B60</f>
        <v>0</v>
      </c>
      <c r="D5" s="30">
        <f>IF(ISERROR(SUM(LB_lb_gas_kWh,LB_rest_gas_kWh,onbekend_gas_kWh)/1000),0,SUM(LB_lb_gas_kWh,LB_rest_gas_kWh,onbekend_gas_kWh)/1000)*0.902</f>
        <v>2101.6428620000002</v>
      </c>
      <c r="E5" s="17">
        <f>B17*'E Balans VL '!I25/3.6*1000000/100</f>
        <v>116.08525218351126</v>
      </c>
      <c r="F5" s="17">
        <f>B17*('E Balans VL '!L25/3.6*1000000+'E Balans VL '!N25/3.6*1000000)/100</f>
        <v>16453.032811031215</v>
      </c>
      <c r="G5" s="18"/>
      <c r="H5" s="17"/>
      <c r="I5" s="17"/>
      <c r="J5" s="17">
        <f>('E Balans VL '!D25+'E Balans VL '!E25)/3.6*1000000*landbouw!B17/100</f>
        <v>572.18483932791219</v>
      </c>
      <c r="K5" s="17"/>
      <c r="L5" s="17">
        <f>L6*(-1)</f>
        <v>0</v>
      </c>
      <c r="M5" s="17"/>
      <c r="N5" s="17">
        <f>N6*(-1)</f>
        <v>0</v>
      </c>
      <c r="O5" s="17"/>
      <c r="P5" s="17"/>
      <c r="R5" s="32"/>
    </row>
    <row r="6" spans="1:18">
      <c r="A6" s="16" t="s">
        <v>488</v>
      </c>
      <c r="B6" s="17" t="s">
        <v>211</v>
      </c>
      <c r="C6" s="17">
        <f>'lokale energieproductie'!O91+'lokale energieproductie'!O60</f>
        <v>64.285714285714292</v>
      </c>
      <c r="D6" s="310">
        <f>('lokale energieproductie'!P60+'lokale energieproductie'!P91)*(-1)</f>
        <v>-128.57142857142858</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3949.4110000000001</v>
      </c>
      <c r="C8" s="21">
        <f>C5+C6</f>
        <v>64.285714285714292</v>
      </c>
      <c r="D8" s="21">
        <f>MAX((D5+D6),0)</f>
        <v>1973.0714334285715</v>
      </c>
      <c r="E8" s="21">
        <f>MAX((E5+E6),0)</f>
        <v>116.08525218351126</v>
      </c>
      <c r="F8" s="21">
        <f>MAX((F5+F6),0)</f>
        <v>16453.032811031215</v>
      </c>
      <c r="G8" s="21"/>
      <c r="H8" s="21"/>
      <c r="I8" s="21"/>
      <c r="J8" s="21">
        <f>MAX((J5+J6),0)</f>
        <v>572.18483932791219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0.19270342619512737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761.06503115272415</v>
      </c>
      <c r="C12" s="23">
        <f ca="1">C8*C10</f>
        <v>15.277310924369752</v>
      </c>
      <c r="D12" s="23">
        <f>D8*D10</f>
        <v>398.56042955257146</v>
      </c>
      <c r="E12" s="23">
        <f>E8*E10</f>
        <v>26.351352245657058</v>
      </c>
      <c r="F12" s="23">
        <f>F8*F10</f>
        <v>4392.9597605453346</v>
      </c>
      <c r="G12" s="23"/>
      <c r="H12" s="23"/>
      <c r="I12" s="23"/>
      <c r="J12" s="23">
        <f>J8*J10</f>
        <v>202.55343312208089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0.56043381179912866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198.79722739464754</v>
      </c>
      <c r="C26" s="247">
        <f>B26*'GWP N2O_CH4'!B5</f>
        <v>4174.7417752875981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72.227959519411257</v>
      </c>
      <c r="C27" s="247">
        <f>B27*'GWP N2O_CH4'!B5</f>
        <v>1516.7871499076364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2.7838128735313639</v>
      </c>
      <c r="C28" s="247">
        <f>B28*'GWP N2O_CH4'!B4</f>
        <v>862.98199079472283</v>
      </c>
      <c r="D28" s="50"/>
    </row>
    <row r="29" spans="1:4">
      <c r="A29" s="41" t="s">
        <v>277</v>
      </c>
      <c r="B29" s="247">
        <f>B34*'ha_N2O bodem landbouw'!B4</f>
        <v>22.051600536945749</v>
      </c>
      <c r="C29" s="247">
        <f>B29*'GWP N2O_CH4'!B4</f>
        <v>6835.996166453182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5.0320992493348539E-3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1.0601074384240938E-4</v>
      </c>
      <c r="C5" s="463" t="s">
        <v>211</v>
      </c>
      <c r="D5" s="448">
        <f>SUM(D6:D11)</f>
        <v>3.6159321957068542E-4</v>
      </c>
      <c r="E5" s="448">
        <f>SUM(E6:E11)</f>
        <v>4.8392558660761086E-4</v>
      </c>
      <c r="F5" s="461" t="s">
        <v>211</v>
      </c>
      <c r="G5" s="448">
        <f>SUM(G6:G11)</f>
        <v>0.19733110130697434</v>
      </c>
      <c r="H5" s="448">
        <f>SUM(H6:H11)</f>
        <v>4.082254413964425E-2</v>
      </c>
      <c r="I5" s="463" t="s">
        <v>211</v>
      </c>
      <c r="J5" s="463" t="s">
        <v>211</v>
      </c>
      <c r="K5" s="463" t="s">
        <v>211</v>
      </c>
      <c r="L5" s="463" t="s">
        <v>211</v>
      </c>
      <c r="M5" s="448">
        <f>SUM(M6:M11)</f>
        <v>1.2740803030835593E-2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8.7317705450805401E-5</v>
      </c>
      <c r="C6" s="449"/>
      <c r="D6" s="962">
        <f>vkm_2011_GW_PW*SUMIFS(TableVerdeelsleutelVkm[CNG],TableVerdeelsleutelVkm[Voertuigtype],"Lichte voertuigen")*SUMIFS(TableECFTransport[EnergieConsumptieFactor (PJ per km)],TableECFTransport[Index],CONCATENATE($A6,"_CNG_CNG"))</f>
        <v>2.6190300054807045E-4</v>
      </c>
      <c r="E6" s="962">
        <f>vkm_2011_GW_PW*SUMIFS(TableVerdeelsleutelVkm[LPG],TableVerdeelsleutelVkm[Voertuigtype],"Lichte voertuigen")*SUMIFS(TableECFTransport[EnergieConsumptieFactor (PJ per km)],TableECFTransport[Index],CONCATENATE($A6,"_LPG_LPG"))</f>
        <v>3.5779711926066935E-4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9.2509933365936103E-2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2.97832425277685E-2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6.2888115246264881E-3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6.8667291248638504E-2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2.0924734537802197E-5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4.0126884907880564E-3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1.8693038391603978E-5</v>
      </c>
      <c r="C8" s="449"/>
      <c r="D8" s="451">
        <f>vkm_2011_NGW_PW*SUMIFS(TableVerdeelsleutelVkm[CNG],TableVerdeelsleutelVkm[Voertuigtype],"Lichte voertuigen")*SUMIFS(TableECFTransport[EnergieConsumptieFactor (PJ per km)],TableECFTransport[Index],CONCATENATE($A8,"_CNG_CNG"))</f>
        <v>9.9690219022614961E-5</v>
      </c>
      <c r="E8" s="451">
        <f>vkm_2011_NGW_PW*SUMIFS(TableVerdeelsleutelVkm[LPG],TableVerdeelsleutelVkm[Voertuigtype],"Lichte voertuigen")*SUMIFS(TableECFTransport[EnergieConsumptieFactor (PJ per km)],TableECFTransport[Index],CONCATENATE($A8,"_LPG_LPG"))</f>
        <v>1.2612846734694154E-4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3.0390038599524292E-2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1.1016723384699103E-2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2.1024865091890345E-3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5.7638380928754299E-3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1.6534926388421063E-6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3.3681650623201468E-4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29.447428845113713</v>
      </c>
      <c r="C14" s="21"/>
      <c r="D14" s="21">
        <f t="shared" ref="D14:M14" si="0">((D5)*10^9/3600)+D12</f>
        <v>100.44256099185706</v>
      </c>
      <c r="E14" s="21">
        <f t="shared" si="0"/>
        <v>134.42377405766968</v>
      </c>
      <c r="F14" s="21"/>
      <c r="G14" s="21">
        <f t="shared" si="0"/>
        <v>54814.194807492873</v>
      </c>
      <c r="H14" s="21">
        <f t="shared" si="0"/>
        <v>11339.595594345625</v>
      </c>
      <c r="I14" s="21"/>
      <c r="J14" s="21"/>
      <c r="K14" s="21"/>
      <c r="L14" s="21"/>
      <c r="M14" s="21">
        <f t="shared" si="0"/>
        <v>3539.1119530098872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0.19270342619512737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5.6746204310906352</v>
      </c>
      <c r="C18" s="23"/>
      <c r="D18" s="23">
        <f t="shared" ref="D18:M18" si="1">D14*D16</f>
        <v>20.289397320355128</v>
      </c>
      <c r="E18" s="23">
        <f t="shared" si="1"/>
        <v>30.514196711091017</v>
      </c>
      <c r="F18" s="23"/>
      <c r="G18" s="23">
        <f t="shared" si="1"/>
        <v>14635.390013600598</v>
      </c>
      <c r="H18" s="23">
        <f t="shared" si="1"/>
        <v>2823.5593029920606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4.2051906947363875E-3</v>
      </c>
      <c r="H50" s="321">
        <f t="shared" si="2"/>
        <v>0</v>
      </c>
      <c r="I50" s="321">
        <f t="shared" si="2"/>
        <v>0</v>
      </c>
      <c r="J50" s="321">
        <f t="shared" si="2"/>
        <v>0</v>
      </c>
      <c r="K50" s="321">
        <f t="shared" si="2"/>
        <v>0</v>
      </c>
      <c r="L50" s="321">
        <f t="shared" si="2"/>
        <v>0</v>
      </c>
      <c r="M50" s="321">
        <f t="shared" si="2"/>
        <v>2.3883626732549323E-4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4.2051906947363875E-3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2.3883626732549323E-4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1168.1085263156633</v>
      </c>
      <c r="H54" s="21">
        <f t="shared" si="3"/>
        <v>0</v>
      </c>
      <c r="I54" s="21">
        <f t="shared" si="3"/>
        <v>0</v>
      </c>
      <c r="J54" s="21">
        <f t="shared" si="3"/>
        <v>0</v>
      </c>
      <c r="K54" s="21">
        <f t="shared" si="3"/>
        <v>0</v>
      </c>
      <c r="L54" s="21">
        <f t="shared" si="3"/>
        <v>0</v>
      </c>
      <c r="M54" s="21">
        <f t="shared" si="3"/>
        <v>66.343407590414785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0.19270342619512737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311.88497652628212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6695.3349686144684</v>
      </c>
      <c r="C6" s="1204"/>
      <c r="D6" s="1189"/>
      <c r="E6" s="1189"/>
      <c r="F6" s="1207"/>
      <c r="G6" s="1210"/>
      <c r="H6" s="1201"/>
      <c r="I6" s="1189"/>
      <c r="J6" s="1189"/>
      <c r="K6" s="1189"/>
      <c r="L6" s="1193"/>
      <c r="M6" s="575"/>
      <c r="N6" s="1167"/>
      <c r="O6" s="1168"/>
      <c r="Q6" s="573"/>
      <c r="R6" s="1155"/>
      <c r="S6" s="1155"/>
    </row>
    <row r="7" spans="1:19" s="563" customFormat="1">
      <c r="A7" s="576" t="s">
        <v>252</v>
      </c>
      <c r="B7" s="577">
        <f>N57</f>
        <v>45</v>
      </c>
      <c r="C7" s="578">
        <f>B100</f>
        <v>52.941176470588239</v>
      </c>
      <c r="D7" s="579"/>
      <c r="E7" s="579">
        <f>E100</f>
        <v>0</v>
      </c>
      <c r="F7" s="580"/>
      <c r="G7" s="581"/>
      <c r="H7" s="579">
        <f>I100</f>
        <v>0</v>
      </c>
      <c r="I7" s="579">
        <f>G100+F100</f>
        <v>0</v>
      </c>
      <c r="J7" s="579">
        <f>H100+D100+C100</f>
        <v>0</v>
      </c>
      <c r="K7" s="579"/>
      <c r="L7" s="582"/>
      <c r="M7" s="583">
        <f>C7*$C$11+D7*$D$11+E7*$E$11+F7*$F$11+G7*$G$11+H7*$H$11+I7*$I$11+J7*$J$11</f>
        <v>10.694117647058825</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6740.3349686144684</v>
      </c>
      <c r="C9" s="594">
        <f t="shared" ref="C9:L9" si="0">SUM(C7:C8)</f>
        <v>52.941176470588239</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10.694117647058825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64.285714285714292</v>
      </c>
      <c r="C16" s="610">
        <f>B101</f>
        <v>75.630252100840352</v>
      </c>
      <c r="D16" s="611"/>
      <c r="E16" s="611">
        <f>E101</f>
        <v>0</v>
      </c>
      <c r="F16" s="612"/>
      <c r="G16" s="613"/>
      <c r="H16" s="610">
        <f>I101</f>
        <v>0</v>
      </c>
      <c r="I16" s="611">
        <f>G101+F101</f>
        <v>0</v>
      </c>
      <c r="J16" s="611">
        <f>H101+D101+C101</f>
        <v>0</v>
      </c>
      <c r="K16" s="611"/>
      <c r="L16" s="614"/>
      <c r="M16" s="615">
        <f>C16*$C$21+E16*$E$21+H16*$H$21+I16*$I$21+J16*$J$21+D16*$D$21+F16*$F$21+G16*$G$21+K16*$K$21+L16*$L$21</f>
        <v>15.277310924369752</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64.285714285714292</v>
      </c>
      <c r="C19" s="593">
        <f>SUM(C16:C18)</f>
        <v>75.630252100840352</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15.277310924369752</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73009</v>
      </c>
      <c r="C27" s="851">
        <v>3840</v>
      </c>
      <c r="D27" s="672" t="s">
        <v>809</v>
      </c>
      <c r="E27" s="671"/>
      <c r="F27" s="671" t="s">
        <v>810</v>
      </c>
      <c r="G27" s="671" t="s">
        <v>811</v>
      </c>
      <c r="H27" s="671" t="s">
        <v>812</v>
      </c>
      <c r="I27" s="671" t="s">
        <v>813</v>
      </c>
      <c r="J27" s="850">
        <v>41926</v>
      </c>
      <c r="K27" s="850">
        <v>42362</v>
      </c>
      <c r="L27" s="671" t="s">
        <v>814</v>
      </c>
      <c r="M27" s="671">
        <v>10</v>
      </c>
      <c r="N27" s="671">
        <v>45</v>
      </c>
      <c r="O27" s="671">
        <v>64.285714285714292</v>
      </c>
      <c r="P27" s="671">
        <v>128.57142857142858</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10</v>
      </c>
      <c r="N57" s="629">
        <f>SUM(N27:N56)</f>
        <v>45</v>
      </c>
      <c r="O57" s="629">
        <f t="shared" ref="O57:W57" si="2">SUM(O27:O56)</f>
        <v>64.285714285714292</v>
      </c>
      <c r="P57" s="629">
        <f t="shared" si="2"/>
        <v>128.57142857142858</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10</v>
      </c>
      <c r="N60" s="634">
        <f t="shared" ref="N60:W60" si="4">SUMIF($Z$27:$Z$56,"landbouw",N27:N56)</f>
        <v>45</v>
      </c>
      <c r="O60" s="634">
        <f t="shared" si="4"/>
        <v>64.285714285714292</v>
      </c>
      <c r="P60" s="634">
        <f t="shared" si="4"/>
        <v>128.57142857142858</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52.941176470588239</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75.630252100840352</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21330.239049999996</v>
      </c>
      <c r="D10" s="718">
        <f ca="1">tertiair!C16</f>
        <v>0</v>
      </c>
      <c r="E10" s="718">
        <f ca="1">tertiair!D16</f>
        <v>9717.9566857999998</v>
      </c>
      <c r="F10" s="718">
        <f>tertiair!E16</f>
        <v>428.779154413713</v>
      </c>
      <c r="G10" s="718">
        <f ca="1">tertiair!F16</f>
        <v>3790.2278483461287</v>
      </c>
      <c r="H10" s="718">
        <f>tertiair!G16</f>
        <v>0</v>
      </c>
      <c r="I10" s="718">
        <f>tertiair!H16</f>
        <v>0</v>
      </c>
      <c r="J10" s="718">
        <f>tertiair!I16</f>
        <v>0</v>
      </c>
      <c r="K10" s="718">
        <f>tertiair!J16</f>
        <v>4.1900592209894456E-2</v>
      </c>
      <c r="L10" s="718">
        <f>tertiair!K16</f>
        <v>0</v>
      </c>
      <c r="M10" s="718">
        <f ca="1">tertiair!L16</f>
        <v>0</v>
      </c>
      <c r="N10" s="718">
        <f>tertiair!M16</f>
        <v>0</v>
      </c>
      <c r="O10" s="718">
        <f ca="1">tertiair!N16</f>
        <v>1668.5811029325248</v>
      </c>
      <c r="P10" s="718">
        <f>tertiair!O16</f>
        <v>3.1266666666666669</v>
      </c>
      <c r="Q10" s="719">
        <f>tertiair!P16</f>
        <v>0</v>
      </c>
      <c r="R10" s="721">
        <f ca="1">SUM(C10:Q10)</f>
        <v>36938.95240875124</v>
      </c>
      <c r="S10" s="67"/>
    </row>
    <row r="11" spans="1:19" s="474" customFormat="1">
      <c r="A11" s="870" t="s">
        <v>225</v>
      </c>
      <c r="B11" s="875"/>
      <c r="C11" s="718">
        <f>huishoudens!B8</f>
        <v>17711.325512220952</v>
      </c>
      <c r="D11" s="718">
        <f>huishoudens!C8</f>
        <v>0</v>
      </c>
      <c r="E11" s="718">
        <f>huishoudens!D8</f>
        <v>27621.1493085</v>
      </c>
      <c r="F11" s="718">
        <f>huishoudens!E8</f>
        <v>3649.2072664802567</v>
      </c>
      <c r="G11" s="718">
        <f>huishoudens!F8</f>
        <v>43849.579913362097</v>
      </c>
      <c r="H11" s="718">
        <f>huishoudens!G8</f>
        <v>0</v>
      </c>
      <c r="I11" s="718">
        <f>huishoudens!H8</f>
        <v>0</v>
      </c>
      <c r="J11" s="718">
        <f>huishoudens!I8</f>
        <v>0</v>
      </c>
      <c r="K11" s="718">
        <f>huishoudens!J8</f>
        <v>253.87435416630447</v>
      </c>
      <c r="L11" s="718">
        <f>huishoudens!K8</f>
        <v>0</v>
      </c>
      <c r="M11" s="718">
        <f>huishoudens!L8</f>
        <v>0</v>
      </c>
      <c r="N11" s="718">
        <f>huishoudens!M8</f>
        <v>0</v>
      </c>
      <c r="O11" s="718">
        <f>huishoudens!N8</f>
        <v>12100.184037772624</v>
      </c>
      <c r="P11" s="718">
        <f>huishoudens!O8</f>
        <v>162.58666666666667</v>
      </c>
      <c r="Q11" s="719">
        <f>huishoudens!P8</f>
        <v>819.86666666666667</v>
      </c>
      <c r="R11" s="721">
        <f>SUM(C11:Q11)</f>
        <v>106167.77372583555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9244.5586500000009</v>
      </c>
      <c r="D13" s="718">
        <f>industrie!C18</f>
        <v>0</v>
      </c>
      <c r="E13" s="718">
        <f>industrie!D18</f>
        <v>15148.464914000002</v>
      </c>
      <c r="F13" s="718">
        <f>industrie!E18</f>
        <v>610.17597677103538</v>
      </c>
      <c r="G13" s="718">
        <f>industrie!F18</f>
        <v>2311.8822761882252</v>
      </c>
      <c r="H13" s="718">
        <f>industrie!G18</f>
        <v>0</v>
      </c>
      <c r="I13" s="718">
        <f>industrie!H18</f>
        <v>0</v>
      </c>
      <c r="J13" s="718">
        <f>industrie!I18</f>
        <v>0</v>
      </c>
      <c r="K13" s="718">
        <f>industrie!J18</f>
        <v>1.6856903037123387</v>
      </c>
      <c r="L13" s="718">
        <f>industrie!K18</f>
        <v>0</v>
      </c>
      <c r="M13" s="718">
        <f>industrie!L18</f>
        <v>0</v>
      </c>
      <c r="N13" s="718">
        <f>industrie!M18</f>
        <v>0</v>
      </c>
      <c r="O13" s="718">
        <f>industrie!N18</f>
        <v>1294.373397325774</v>
      </c>
      <c r="P13" s="718">
        <f>industrie!O18</f>
        <v>0</v>
      </c>
      <c r="Q13" s="719">
        <f>industrie!P18</f>
        <v>0</v>
      </c>
      <c r="R13" s="721">
        <f>SUM(C13:Q13)</f>
        <v>28611.140904588749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48286.123212220948</v>
      </c>
      <c r="D15" s="723">
        <f t="shared" ref="D15:Q15" ca="1" si="0">SUM(D9:D14)</f>
        <v>0</v>
      </c>
      <c r="E15" s="723">
        <f t="shared" ca="1" si="0"/>
        <v>52487.570908300004</v>
      </c>
      <c r="F15" s="723">
        <f t="shared" si="0"/>
        <v>4688.1623976650053</v>
      </c>
      <c r="G15" s="723">
        <f t="shared" ca="1" si="0"/>
        <v>49951.690037896449</v>
      </c>
      <c r="H15" s="723">
        <f t="shared" si="0"/>
        <v>0</v>
      </c>
      <c r="I15" s="723">
        <f t="shared" si="0"/>
        <v>0</v>
      </c>
      <c r="J15" s="723">
        <f t="shared" si="0"/>
        <v>0</v>
      </c>
      <c r="K15" s="723">
        <f t="shared" si="0"/>
        <v>255.60194506222669</v>
      </c>
      <c r="L15" s="723">
        <f t="shared" si="0"/>
        <v>0</v>
      </c>
      <c r="M15" s="723">
        <f t="shared" ca="1" si="0"/>
        <v>0</v>
      </c>
      <c r="N15" s="723">
        <f t="shared" si="0"/>
        <v>0</v>
      </c>
      <c r="O15" s="723">
        <f t="shared" ca="1" si="0"/>
        <v>15063.138538030922</v>
      </c>
      <c r="P15" s="723">
        <f t="shared" si="0"/>
        <v>165.71333333333334</v>
      </c>
      <c r="Q15" s="724">
        <f t="shared" si="0"/>
        <v>819.86666666666667</v>
      </c>
      <c r="R15" s="725">
        <f ca="1">SUM(R9:R14)</f>
        <v>171717.86703917553</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1168.1085263156633</v>
      </c>
      <c r="I18" s="718">
        <f>transport!H54</f>
        <v>0</v>
      </c>
      <c r="J18" s="718">
        <f>transport!I54</f>
        <v>0</v>
      </c>
      <c r="K18" s="718">
        <f>transport!J54</f>
        <v>0</v>
      </c>
      <c r="L18" s="718">
        <f>transport!K54</f>
        <v>0</v>
      </c>
      <c r="M18" s="718">
        <f>transport!L54</f>
        <v>0</v>
      </c>
      <c r="N18" s="718">
        <f>transport!M54</f>
        <v>66.343407590414785</v>
      </c>
      <c r="O18" s="718">
        <f>transport!N54</f>
        <v>0</v>
      </c>
      <c r="P18" s="718">
        <f>transport!O54</f>
        <v>0</v>
      </c>
      <c r="Q18" s="719">
        <f>transport!P54</f>
        <v>0</v>
      </c>
      <c r="R18" s="721">
        <f>SUM(C18:Q18)</f>
        <v>1234.451933906078</v>
      </c>
      <c r="S18" s="67"/>
    </row>
    <row r="19" spans="1:19" s="474" customFormat="1" ht="15" thickBot="1">
      <c r="A19" s="870" t="s">
        <v>307</v>
      </c>
      <c r="B19" s="875"/>
      <c r="C19" s="727">
        <f>transport!B14</f>
        <v>29.447428845113713</v>
      </c>
      <c r="D19" s="727">
        <f>transport!C14</f>
        <v>0</v>
      </c>
      <c r="E19" s="727">
        <f>transport!D14</f>
        <v>100.44256099185706</v>
      </c>
      <c r="F19" s="727">
        <f>transport!E14</f>
        <v>134.42377405766968</v>
      </c>
      <c r="G19" s="727">
        <f>transport!F14</f>
        <v>0</v>
      </c>
      <c r="H19" s="727">
        <f>transport!G14</f>
        <v>54814.194807492873</v>
      </c>
      <c r="I19" s="727">
        <f>transport!H14</f>
        <v>11339.595594345625</v>
      </c>
      <c r="J19" s="727">
        <f>transport!I14</f>
        <v>0</v>
      </c>
      <c r="K19" s="727">
        <f>transport!J14</f>
        <v>0</v>
      </c>
      <c r="L19" s="727">
        <f>transport!K14</f>
        <v>0</v>
      </c>
      <c r="M19" s="727">
        <f>transport!L14</f>
        <v>0</v>
      </c>
      <c r="N19" s="727">
        <f>transport!M14</f>
        <v>3539.1119530098872</v>
      </c>
      <c r="O19" s="727">
        <f>transport!N14</f>
        <v>0</v>
      </c>
      <c r="P19" s="727">
        <f>transport!O14</f>
        <v>0</v>
      </c>
      <c r="Q19" s="728">
        <f>transport!P14</f>
        <v>0</v>
      </c>
      <c r="R19" s="729">
        <f>SUM(C19:Q19)</f>
        <v>69957.216118743017</v>
      </c>
      <c r="S19" s="67"/>
    </row>
    <row r="20" spans="1:19" s="474" customFormat="1" ht="15.75" thickBot="1">
      <c r="A20" s="730" t="s">
        <v>230</v>
      </c>
      <c r="B20" s="878"/>
      <c r="C20" s="873">
        <f>SUM(C17:C19)</f>
        <v>29.447428845113713</v>
      </c>
      <c r="D20" s="731">
        <f t="shared" ref="D20:R20" si="1">SUM(D17:D19)</f>
        <v>0</v>
      </c>
      <c r="E20" s="731">
        <f t="shared" si="1"/>
        <v>100.44256099185706</v>
      </c>
      <c r="F20" s="731">
        <f t="shared" si="1"/>
        <v>134.42377405766968</v>
      </c>
      <c r="G20" s="731">
        <f t="shared" si="1"/>
        <v>0</v>
      </c>
      <c r="H20" s="731">
        <f t="shared" si="1"/>
        <v>55982.303333808537</v>
      </c>
      <c r="I20" s="731">
        <f t="shared" si="1"/>
        <v>11339.595594345625</v>
      </c>
      <c r="J20" s="731">
        <f t="shared" si="1"/>
        <v>0</v>
      </c>
      <c r="K20" s="731">
        <f t="shared" si="1"/>
        <v>0</v>
      </c>
      <c r="L20" s="731">
        <f t="shared" si="1"/>
        <v>0</v>
      </c>
      <c r="M20" s="731">
        <f t="shared" si="1"/>
        <v>0</v>
      </c>
      <c r="N20" s="731">
        <f t="shared" si="1"/>
        <v>3605.4553606003019</v>
      </c>
      <c r="O20" s="731">
        <f t="shared" si="1"/>
        <v>0</v>
      </c>
      <c r="P20" s="731">
        <f t="shared" si="1"/>
        <v>0</v>
      </c>
      <c r="Q20" s="732">
        <f t="shared" si="1"/>
        <v>0</v>
      </c>
      <c r="R20" s="733">
        <f t="shared" si="1"/>
        <v>71191.668052649096</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3949.4110000000001</v>
      </c>
      <c r="D22" s="727">
        <f>+landbouw!C8</f>
        <v>64.285714285714292</v>
      </c>
      <c r="E22" s="727">
        <f>+landbouw!D8</f>
        <v>1973.0714334285715</v>
      </c>
      <c r="F22" s="727">
        <f>+landbouw!E8</f>
        <v>116.08525218351126</v>
      </c>
      <c r="G22" s="727">
        <f>+landbouw!F8</f>
        <v>16453.032811031215</v>
      </c>
      <c r="H22" s="727">
        <f>+landbouw!G8</f>
        <v>0</v>
      </c>
      <c r="I22" s="727">
        <f>+landbouw!H8</f>
        <v>0</v>
      </c>
      <c r="J22" s="727">
        <f>+landbouw!I8</f>
        <v>0</v>
      </c>
      <c r="K22" s="727">
        <f>+landbouw!J8</f>
        <v>572.18483932791219</v>
      </c>
      <c r="L22" s="727">
        <f>+landbouw!K8</f>
        <v>0</v>
      </c>
      <c r="M22" s="727">
        <f>+landbouw!L8</f>
        <v>0</v>
      </c>
      <c r="N22" s="727">
        <f>+landbouw!M8</f>
        <v>0</v>
      </c>
      <c r="O22" s="727">
        <f>+landbouw!N8</f>
        <v>0</v>
      </c>
      <c r="P22" s="727">
        <f>+landbouw!O8</f>
        <v>0</v>
      </c>
      <c r="Q22" s="728">
        <f>+landbouw!P8</f>
        <v>0</v>
      </c>
      <c r="R22" s="729">
        <f>SUM(C22:Q22)</f>
        <v>23128.071050256924</v>
      </c>
      <c r="S22" s="67"/>
    </row>
    <row r="23" spans="1:19" s="474" customFormat="1" ht="17.25" thickTop="1" thickBot="1">
      <c r="A23" s="734" t="s">
        <v>116</v>
      </c>
      <c r="B23" s="864"/>
      <c r="C23" s="735">
        <f ca="1">C20+C15+C22</f>
        <v>52264.981641066064</v>
      </c>
      <c r="D23" s="735">
        <f t="shared" ref="D23:Q23" ca="1" si="2">D20+D15+D22</f>
        <v>64.285714285714292</v>
      </c>
      <c r="E23" s="735">
        <f t="shared" ca="1" si="2"/>
        <v>54561.084902720431</v>
      </c>
      <c r="F23" s="735">
        <f t="shared" si="2"/>
        <v>4938.6714239061866</v>
      </c>
      <c r="G23" s="735">
        <f t="shared" ca="1" si="2"/>
        <v>66404.72284892766</v>
      </c>
      <c r="H23" s="735">
        <f t="shared" si="2"/>
        <v>55982.303333808537</v>
      </c>
      <c r="I23" s="735">
        <f t="shared" si="2"/>
        <v>11339.595594345625</v>
      </c>
      <c r="J23" s="735">
        <f t="shared" si="2"/>
        <v>0</v>
      </c>
      <c r="K23" s="735">
        <f t="shared" si="2"/>
        <v>827.78678439013891</v>
      </c>
      <c r="L23" s="735">
        <f t="shared" si="2"/>
        <v>0</v>
      </c>
      <c r="M23" s="735">
        <f t="shared" ca="1" si="2"/>
        <v>0</v>
      </c>
      <c r="N23" s="735">
        <f t="shared" si="2"/>
        <v>3605.4553606003019</v>
      </c>
      <c r="O23" s="735">
        <f t="shared" ca="1" si="2"/>
        <v>15063.138538030922</v>
      </c>
      <c r="P23" s="735">
        <f t="shared" si="2"/>
        <v>165.71333333333334</v>
      </c>
      <c r="Q23" s="736">
        <f t="shared" si="2"/>
        <v>819.86666666666667</v>
      </c>
      <c r="R23" s="737">
        <f ca="1">R20+R15+R22</f>
        <v>266037.60614208155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4110.4101464960986</v>
      </c>
      <c r="D36" s="718">
        <f ca="1">tertiair!C20</f>
        <v>0</v>
      </c>
      <c r="E36" s="718">
        <f ca="1">tertiair!D20</f>
        <v>1963.0272505316002</v>
      </c>
      <c r="F36" s="718">
        <f>tertiair!E20</f>
        <v>97.332868051912854</v>
      </c>
      <c r="G36" s="718">
        <f ca="1">tertiair!F20</f>
        <v>1011.9908355084165</v>
      </c>
      <c r="H36" s="718">
        <f>tertiair!G20</f>
        <v>0</v>
      </c>
      <c r="I36" s="718">
        <f>tertiair!H20</f>
        <v>0</v>
      </c>
      <c r="J36" s="718">
        <f>tertiair!I20</f>
        <v>0</v>
      </c>
      <c r="K36" s="718">
        <f>tertiair!J20</f>
        <v>1.4832809642302637E-2</v>
      </c>
      <c r="L36" s="718">
        <f>tertiair!K20</f>
        <v>0</v>
      </c>
      <c r="M36" s="718">
        <f ca="1">tertiair!L20</f>
        <v>0</v>
      </c>
      <c r="N36" s="718">
        <f>tertiair!M20</f>
        <v>0</v>
      </c>
      <c r="O36" s="718">
        <f ca="1">tertiair!N20</f>
        <v>0</v>
      </c>
      <c r="P36" s="718">
        <f>tertiair!O20</f>
        <v>0</v>
      </c>
      <c r="Q36" s="828">
        <f>tertiair!P20</f>
        <v>0</v>
      </c>
      <c r="R36" s="917">
        <f ca="1">SUM(C36:Q36)</f>
        <v>7182.7759333976701</v>
      </c>
    </row>
    <row r="37" spans="1:18">
      <c r="A37" s="885" t="s">
        <v>225</v>
      </c>
      <c r="B37" s="892"/>
      <c r="C37" s="718">
        <f ca="1">huishoudens!B12</f>
        <v>3413.0331086621468</v>
      </c>
      <c r="D37" s="718">
        <f ca="1">huishoudens!C12</f>
        <v>0</v>
      </c>
      <c r="E37" s="718">
        <f>huishoudens!D12</f>
        <v>5579.4721603170001</v>
      </c>
      <c r="F37" s="718">
        <f>huishoudens!E12</f>
        <v>828.37004949101834</v>
      </c>
      <c r="G37" s="718">
        <f>huishoudens!F12</f>
        <v>11707.83783686768</v>
      </c>
      <c r="H37" s="718">
        <f>huishoudens!G12</f>
        <v>0</v>
      </c>
      <c r="I37" s="718">
        <f>huishoudens!H12</f>
        <v>0</v>
      </c>
      <c r="J37" s="718">
        <f>huishoudens!I12</f>
        <v>0</v>
      </c>
      <c r="K37" s="718">
        <f>huishoudens!J12</f>
        <v>89.871521374871776</v>
      </c>
      <c r="L37" s="718">
        <f>huishoudens!K12</f>
        <v>0</v>
      </c>
      <c r="M37" s="718">
        <f>huishoudens!L12</f>
        <v>0</v>
      </c>
      <c r="N37" s="718">
        <f>huishoudens!M12</f>
        <v>0</v>
      </c>
      <c r="O37" s="718">
        <f>huishoudens!N12</f>
        <v>0</v>
      </c>
      <c r="P37" s="718">
        <f>huishoudens!O12</f>
        <v>0</v>
      </c>
      <c r="Q37" s="828">
        <f>huishoudens!P12</f>
        <v>0</v>
      </c>
      <c r="R37" s="917">
        <f ca="1">SUM(C37:Q37)</f>
        <v>21618.584676712719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1781.4581255168014</v>
      </c>
      <c r="D39" s="718">
        <f ca="1">industrie!C22</f>
        <v>0</v>
      </c>
      <c r="E39" s="718">
        <f>industrie!D22</f>
        <v>3059.9899126280006</v>
      </c>
      <c r="F39" s="718">
        <f>industrie!E22</f>
        <v>138.50994672702504</v>
      </c>
      <c r="G39" s="718">
        <f>industrie!F22</f>
        <v>617.27256774225611</v>
      </c>
      <c r="H39" s="718">
        <f>industrie!G22</f>
        <v>0</v>
      </c>
      <c r="I39" s="718">
        <f>industrie!H22</f>
        <v>0</v>
      </c>
      <c r="J39" s="718">
        <f>industrie!I22</f>
        <v>0</v>
      </c>
      <c r="K39" s="718">
        <f>industrie!J22</f>
        <v>0.59673436751416786</v>
      </c>
      <c r="L39" s="718">
        <f>industrie!K22</f>
        <v>0</v>
      </c>
      <c r="M39" s="718">
        <f>industrie!L22</f>
        <v>0</v>
      </c>
      <c r="N39" s="718">
        <f>industrie!M22</f>
        <v>0</v>
      </c>
      <c r="O39" s="718">
        <f>industrie!N22</f>
        <v>0</v>
      </c>
      <c r="P39" s="718">
        <f>industrie!O22</f>
        <v>0</v>
      </c>
      <c r="Q39" s="828">
        <f>industrie!P22</f>
        <v>0</v>
      </c>
      <c r="R39" s="918">
        <f ca="1">SUM(C39:Q39)</f>
        <v>5597.8272869815964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9304.9013806750463</v>
      </c>
      <c r="D41" s="763">
        <f t="shared" ref="D41:R41" ca="1" si="4">SUM(D35:D40)</f>
        <v>0</v>
      </c>
      <c r="E41" s="763">
        <f t="shared" ca="1" si="4"/>
        <v>10602.489323476602</v>
      </c>
      <c r="F41" s="763">
        <f t="shared" si="4"/>
        <v>1064.2128642699563</v>
      </c>
      <c r="G41" s="763">
        <f t="shared" ca="1" si="4"/>
        <v>13337.101240118354</v>
      </c>
      <c r="H41" s="763">
        <f t="shared" si="4"/>
        <v>0</v>
      </c>
      <c r="I41" s="763">
        <f t="shared" si="4"/>
        <v>0</v>
      </c>
      <c r="J41" s="763">
        <f t="shared" si="4"/>
        <v>0</v>
      </c>
      <c r="K41" s="763">
        <f t="shared" si="4"/>
        <v>90.483088552028249</v>
      </c>
      <c r="L41" s="763">
        <f t="shared" si="4"/>
        <v>0</v>
      </c>
      <c r="M41" s="763">
        <f t="shared" ca="1" si="4"/>
        <v>0</v>
      </c>
      <c r="N41" s="763">
        <f t="shared" si="4"/>
        <v>0</v>
      </c>
      <c r="O41" s="763">
        <f t="shared" ca="1" si="4"/>
        <v>0</v>
      </c>
      <c r="P41" s="763">
        <f t="shared" si="4"/>
        <v>0</v>
      </c>
      <c r="Q41" s="764">
        <f t="shared" si="4"/>
        <v>0</v>
      </c>
      <c r="R41" s="765">
        <f t="shared" ca="1" si="4"/>
        <v>34399.187897091986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311.88497652628212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311.88497652628212</v>
      </c>
    </row>
    <row r="45" spans="1:18" ht="15" thickBot="1">
      <c r="A45" s="888" t="s">
        <v>307</v>
      </c>
      <c r="B45" s="898"/>
      <c r="C45" s="727">
        <f ca="1">transport!B18</f>
        <v>5.6746204310906352</v>
      </c>
      <c r="D45" s="727">
        <f>transport!C18</f>
        <v>0</v>
      </c>
      <c r="E45" s="727">
        <f>transport!D18</f>
        <v>20.289397320355128</v>
      </c>
      <c r="F45" s="727">
        <f>transport!E18</f>
        <v>30.514196711091017</v>
      </c>
      <c r="G45" s="727">
        <f>transport!F18</f>
        <v>0</v>
      </c>
      <c r="H45" s="727">
        <f>transport!G18</f>
        <v>14635.390013600598</v>
      </c>
      <c r="I45" s="727">
        <f>transport!H18</f>
        <v>2823.5593029920606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17515.427531055197</v>
      </c>
    </row>
    <row r="46" spans="1:18" ht="15.75" thickBot="1">
      <c r="A46" s="886" t="s">
        <v>230</v>
      </c>
      <c r="B46" s="899"/>
      <c r="C46" s="763">
        <f t="shared" ref="C46:R46" ca="1" si="5">SUM(C43:C45)</f>
        <v>5.6746204310906352</v>
      </c>
      <c r="D46" s="763">
        <f t="shared" ca="1" si="5"/>
        <v>0</v>
      </c>
      <c r="E46" s="763">
        <f t="shared" si="5"/>
        <v>20.289397320355128</v>
      </c>
      <c r="F46" s="763">
        <f t="shared" si="5"/>
        <v>30.514196711091017</v>
      </c>
      <c r="G46" s="763">
        <f t="shared" si="5"/>
        <v>0</v>
      </c>
      <c r="H46" s="763">
        <f t="shared" si="5"/>
        <v>14947.27499012688</v>
      </c>
      <c r="I46" s="763">
        <f t="shared" si="5"/>
        <v>2823.5593029920606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17827.312507581479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761.06503115272415</v>
      </c>
      <c r="D48" s="718">
        <f ca="1">+landbouw!C12</f>
        <v>15.277310924369752</v>
      </c>
      <c r="E48" s="718">
        <f>+landbouw!D12</f>
        <v>398.56042955257146</v>
      </c>
      <c r="F48" s="718">
        <f>+landbouw!E12</f>
        <v>26.351352245657058</v>
      </c>
      <c r="G48" s="718">
        <f>+landbouw!F12</f>
        <v>4392.9597605453346</v>
      </c>
      <c r="H48" s="718">
        <f>+landbouw!G12</f>
        <v>0</v>
      </c>
      <c r="I48" s="718">
        <f>+landbouw!H12</f>
        <v>0</v>
      </c>
      <c r="J48" s="718">
        <f>+landbouw!I12</f>
        <v>0</v>
      </c>
      <c r="K48" s="718">
        <f>+landbouw!J12</f>
        <v>202.55343312208089</v>
      </c>
      <c r="L48" s="718">
        <f>+landbouw!K12</f>
        <v>0</v>
      </c>
      <c r="M48" s="718">
        <f>+landbouw!L12</f>
        <v>0</v>
      </c>
      <c r="N48" s="718">
        <f>+landbouw!M12</f>
        <v>0</v>
      </c>
      <c r="O48" s="718">
        <f>+landbouw!N12</f>
        <v>0</v>
      </c>
      <c r="P48" s="718">
        <f>+landbouw!O12</f>
        <v>0</v>
      </c>
      <c r="Q48" s="719">
        <f>+landbouw!P12</f>
        <v>0</v>
      </c>
      <c r="R48" s="761">
        <f ca="1">SUM(C48:Q48)</f>
        <v>5796.7673175427381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10071.641032258862</v>
      </c>
      <c r="D53" s="773">
        <f t="shared" ref="D53:Q53" ca="1" si="6">D41+D46+D48</f>
        <v>15.277310924369752</v>
      </c>
      <c r="E53" s="773">
        <f t="shared" ca="1" si="6"/>
        <v>11021.33915034953</v>
      </c>
      <c r="F53" s="773">
        <f t="shared" si="6"/>
        <v>1121.0784132267045</v>
      </c>
      <c r="G53" s="773">
        <f t="shared" ca="1" si="6"/>
        <v>17730.061000663689</v>
      </c>
      <c r="H53" s="773">
        <f t="shared" si="6"/>
        <v>14947.27499012688</v>
      </c>
      <c r="I53" s="773">
        <f t="shared" si="6"/>
        <v>2823.5593029920606</v>
      </c>
      <c r="J53" s="773">
        <f t="shared" si="6"/>
        <v>0</v>
      </c>
      <c r="K53" s="773">
        <f t="shared" si="6"/>
        <v>293.03652167410917</v>
      </c>
      <c r="L53" s="773">
        <f t="shared" si="6"/>
        <v>0</v>
      </c>
      <c r="M53" s="773">
        <f t="shared" ca="1" si="6"/>
        <v>0</v>
      </c>
      <c r="N53" s="773">
        <f t="shared" si="6"/>
        <v>0</v>
      </c>
      <c r="O53" s="773">
        <f t="shared" ca="1" si="6"/>
        <v>0</v>
      </c>
      <c r="P53" s="773">
        <f>P41+P46+P48</f>
        <v>0</v>
      </c>
      <c r="Q53" s="774">
        <f t="shared" si="6"/>
        <v>0</v>
      </c>
      <c r="R53" s="775">
        <f ca="1">R41+R46+R48</f>
        <v>58023.267722216209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0.19270342619512737</v>
      </c>
      <c r="D55" s="836">
        <f t="shared" ca="1" si="7"/>
        <v>0.23764705882352946</v>
      </c>
      <c r="E55" s="836">
        <f t="shared" ca="1" si="7"/>
        <v>0.20200000000000004</v>
      </c>
      <c r="F55" s="836">
        <f t="shared" si="7"/>
        <v>0.22700000000000001</v>
      </c>
      <c r="G55" s="836">
        <f t="shared" ca="1" si="7"/>
        <v>0.26700000000000007</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6695.3349686144684</v>
      </c>
      <c r="C66" s="795">
        <f>'lokale energieproductie'!B6</f>
        <v>6695.3349686144684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45</v>
      </c>
      <c r="C67" s="794">
        <f>B67*IFERROR(SUM(J67:L67)/SUM(D67:M67),0)</f>
        <v>0</v>
      </c>
      <c r="D67" s="826">
        <f>'lokale energieproductie'!C7</f>
        <v>52.941176470588239</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10.694117647058825</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6740.3349686144684</v>
      </c>
      <c r="C69" s="803">
        <f>SUM(C64:C68)</f>
        <v>6695.3349686144684</v>
      </c>
      <c r="D69" s="804">
        <f t="shared" ref="D69:M69" si="8">SUM(D67:D68)</f>
        <v>52.941176470588239</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10.694117647058825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64.285714285714292</v>
      </c>
      <c r="C78" s="817">
        <f>B78*IFERROR(SUM(I78:L78)/SUM(D78:M78),0)</f>
        <v>0</v>
      </c>
      <c r="D78" s="832">
        <f>'lokale energieproductie'!C16</f>
        <v>75.630252100840352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15.277310924369752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64.285714285714292</v>
      </c>
      <c r="C81" s="803">
        <f>SUM(C78:C80)</f>
        <v>0</v>
      </c>
      <c r="D81" s="803">
        <f t="shared" ref="D81:P81" si="9">SUM(D78:D80)</f>
        <v>75.630252100840352</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15.277310924369752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17711.325512220952</v>
      </c>
      <c r="C4" s="478">
        <f>huishoudens!C8</f>
        <v>0</v>
      </c>
      <c r="D4" s="478">
        <f>huishoudens!D8</f>
        <v>27621.1493085</v>
      </c>
      <c r="E4" s="478">
        <f>huishoudens!E8</f>
        <v>3649.2072664802567</v>
      </c>
      <c r="F4" s="478">
        <f>huishoudens!F8</f>
        <v>43849.579913362097</v>
      </c>
      <c r="G4" s="478">
        <f>huishoudens!G8</f>
        <v>0</v>
      </c>
      <c r="H4" s="478">
        <f>huishoudens!H8</f>
        <v>0</v>
      </c>
      <c r="I4" s="478">
        <f>huishoudens!I8</f>
        <v>0</v>
      </c>
      <c r="J4" s="478">
        <f>huishoudens!J8</f>
        <v>253.87435416630447</v>
      </c>
      <c r="K4" s="478">
        <f>huishoudens!K8</f>
        <v>0</v>
      </c>
      <c r="L4" s="478">
        <f>huishoudens!L8</f>
        <v>0</v>
      </c>
      <c r="M4" s="478">
        <f>huishoudens!M8</f>
        <v>0</v>
      </c>
      <c r="N4" s="478">
        <f>huishoudens!N8</f>
        <v>12100.184037772624</v>
      </c>
      <c r="O4" s="478">
        <f>huishoudens!O8</f>
        <v>162.58666666666667</v>
      </c>
      <c r="P4" s="479">
        <f>huishoudens!P8</f>
        <v>819.86666666666667</v>
      </c>
      <c r="Q4" s="480">
        <f>SUM(B4:P4)</f>
        <v>106167.77372583555</v>
      </c>
    </row>
    <row r="5" spans="1:17">
      <c r="A5" s="477" t="s">
        <v>156</v>
      </c>
      <c r="B5" s="478">
        <f ca="1">tertiair!B16</f>
        <v>20779.390049999998</v>
      </c>
      <c r="C5" s="478">
        <f ca="1">tertiair!C16</f>
        <v>0</v>
      </c>
      <c r="D5" s="478">
        <f ca="1">tertiair!D16</f>
        <v>9717.9566857999998</v>
      </c>
      <c r="E5" s="478">
        <f>tertiair!E16</f>
        <v>428.779154413713</v>
      </c>
      <c r="F5" s="478">
        <f ca="1">tertiair!F16</f>
        <v>3790.2278483461287</v>
      </c>
      <c r="G5" s="478">
        <f>tertiair!G16</f>
        <v>0</v>
      </c>
      <c r="H5" s="478">
        <f>tertiair!H16</f>
        <v>0</v>
      </c>
      <c r="I5" s="478">
        <f>tertiair!I16</f>
        <v>0</v>
      </c>
      <c r="J5" s="478">
        <f>tertiair!J16</f>
        <v>4.1900592209894456E-2</v>
      </c>
      <c r="K5" s="478">
        <f>tertiair!K16</f>
        <v>0</v>
      </c>
      <c r="L5" s="478">
        <f ca="1">tertiair!L16</f>
        <v>0</v>
      </c>
      <c r="M5" s="478">
        <f>tertiair!M16</f>
        <v>0</v>
      </c>
      <c r="N5" s="478">
        <f ca="1">tertiair!N16</f>
        <v>1668.5811029325248</v>
      </c>
      <c r="O5" s="478">
        <f>tertiair!O16</f>
        <v>3.1266666666666669</v>
      </c>
      <c r="P5" s="479">
        <f>tertiair!P16</f>
        <v>0</v>
      </c>
      <c r="Q5" s="477">
        <f t="shared" ref="Q5:Q13" ca="1" si="0">SUM(B5:P5)</f>
        <v>36388.103408751238</v>
      </c>
    </row>
    <row r="6" spans="1:17">
      <c r="A6" s="477" t="s">
        <v>194</v>
      </c>
      <c r="B6" s="478">
        <f>'openbare verlichting'!B8</f>
        <v>550.84900000000005</v>
      </c>
      <c r="C6" s="478"/>
      <c r="D6" s="478"/>
      <c r="E6" s="478"/>
      <c r="F6" s="478"/>
      <c r="G6" s="478"/>
      <c r="H6" s="478"/>
      <c r="I6" s="478"/>
      <c r="J6" s="478"/>
      <c r="K6" s="478"/>
      <c r="L6" s="478"/>
      <c r="M6" s="478"/>
      <c r="N6" s="478"/>
      <c r="O6" s="478"/>
      <c r="P6" s="479"/>
      <c r="Q6" s="477">
        <f t="shared" si="0"/>
        <v>550.84900000000005</v>
      </c>
    </row>
    <row r="7" spans="1:17">
      <c r="A7" s="477" t="s">
        <v>112</v>
      </c>
      <c r="B7" s="478">
        <f>landbouw!B8</f>
        <v>3949.4110000000001</v>
      </c>
      <c r="C7" s="478">
        <f>landbouw!C8</f>
        <v>64.285714285714292</v>
      </c>
      <c r="D7" s="478">
        <f>landbouw!D8</f>
        <v>1973.0714334285715</v>
      </c>
      <c r="E7" s="478">
        <f>landbouw!E8</f>
        <v>116.08525218351126</v>
      </c>
      <c r="F7" s="478">
        <f>landbouw!F8</f>
        <v>16453.032811031215</v>
      </c>
      <c r="G7" s="478">
        <f>landbouw!G8</f>
        <v>0</v>
      </c>
      <c r="H7" s="478">
        <f>landbouw!H8</f>
        <v>0</v>
      </c>
      <c r="I7" s="478">
        <f>landbouw!I8</f>
        <v>0</v>
      </c>
      <c r="J7" s="478">
        <f>landbouw!J8</f>
        <v>572.18483932791219</v>
      </c>
      <c r="K7" s="478">
        <f>landbouw!K8</f>
        <v>0</v>
      </c>
      <c r="L7" s="478">
        <f>landbouw!L8</f>
        <v>0</v>
      </c>
      <c r="M7" s="478">
        <f>landbouw!M8</f>
        <v>0</v>
      </c>
      <c r="N7" s="478">
        <f>landbouw!N8</f>
        <v>0</v>
      </c>
      <c r="O7" s="478">
        <f>landbouw!O8</f>
        <v>0</v>
      </c>
      <c r="P7" s="479">
        <f>landbouw!P8</f>
        <v>0</v>
      </c>
      <c r="Q7" s="477">
        <f t="shared" si="0"/>
        <v>23128.071050256924</v>
      </c>
    </row>
    <row r="8" spans="1:17">
      <c r="A8" s="477" t="s">
        <v>635</v>
      </c>
      <c r="B8" s="478">
        <f>industrie!B18</f>
        <v>9244.5586500000009</v>
      </c>
      <c r="C8" s="478">
        <f>industrie!C18</f>
        <v>0</v>
      </c>
      <c r="D8" s="478">
        <f>industrie!D18</f>
        <v>15148.464914000002</v>
      </c>
      <c r="E8" s="478">
        <f>industrie!E18</f>
        <v>610.17597677103538</v>
      </c>
      <c r="F8" s="478">
        <f>industrie!F18</f>
        <v>2311.8822761882252</v>
      </c>
      <c r="G8" s="478">
        <f>industrie!G18</f>
        <v>0</v>
      </c>
      <c r="H8" s="478">
        <f>industrie!H18</f>
        <v>0</v>
      </c>
      <c r="I8" s="478">
        <f>industrie!I18</f>
        <v>0</v>
      </c>
      <c r="J8" s="478">
        <f>industrie!J18</f>
        <v>1.6856903037123387</v>
      </c>
      <c r="K8" s="478">
        <f>industrie!K18</f>
        <v>0</v>
      </c>
      <c r="L8" s="478">
        <f>industrie!L18</f>
        <v>0</v>
      </c>
      <c r="M8" s="478">
        <f>industrie!M18</f>
        <v>0</v>
      </c>
      <c r="N8" s="478">
        <f>industrie!N18</f>
        <v>1294.373397325774</v>
      </c>
      <c r="O8" s="478">
        <f>industrie!O18</f>
        <v>0</v>
      </c>
      <c r="P8" s="479">
        <f>industrie!P18</f>
        <v>0</v>
      </c>
      <c r="Q8" s="477">
        <f t="shared" si="0"/>
        <v>28611.140904588749</v>
      </c>
    </row>
    <row r="9" spans="1:17" s="483" customFormat="1">
      <c r="A9" s="481" t="s">
        <v>561</v>
      </c>
      <c r="B9" s="482">
        <f>transport!B14</f>
        <v>29.447428845113713</v>
      </c>
      <c r="C9" s="482">
        <f>transport!C14</f>
        <v>0</v>
      </c>
      <c r="D9" s="482">
        <f>transport!D14</f>
        <v>100.44256099185706</v>
      </c>
      <c r="E9" s="482">
        <f>transport!E14</f>
        <v>134.42377405766968</v>
      </c>
      <c r="F9" s="482">
        <f>transport!F14</f>
        <v>0</v>
      </c>
      <c r="G9" s="482">
        <f>transport!G14</f>
        <v>54814.194807492873</v>
      </c>
      <c r="H9" s="482">
        <f>transport!H14</f>
        <v>11339.595594345625</v>
      </c>
      <c r="I9" s="482">
        <f>transport!I14</f>
        <v>0</v>
      </c>
      <c r="J9" s="482">
        <f>transport!J14</f>
        <v>0</v>
      </c>
      <c r="K9" s="482">
        <f>transport!K14</f>
        <v>0</v>
      </c>
      <c r="L9" s="482">
        <f>transport!L14</f>
        <v>0</v>
      </c>
      <c r="M9" s="482">
        <f>transport!M14</f>
        <v>3539.1119530098872</v>
      </c>
      <c r="N9" s="482">
        <f>transport!N14</f>
        <v>0</v>
      </c>
      <c r="O9" s="482">
        <f>transport!O14</f>
        <v>0</v>
      </c>
      <c r="P9" s="482">
        <f>transport!P14</f>
        <v>0</v>
      </c>
      <c r="Q9" s="481">
        <f>SUM(B9:P9)</f>
        <v>69957.216118743017</v>
      </c>
    </row>
    <row r="10" spans="1:17">
      <c r="A10" s="477" t="s">
        <v>551</v>
      </c>
      <c r="B10" s="478">
        <f>transport!B54</f>
        <v>0</v>
      </c>
      <c r="C10" s="478">
        <f>transport!C54</f>
        <v>0</v>
      </c>
      <c r="D10" s="478">
        <f>transport!D54</f>
        <v>0</v>
      </c>
      <c r="E10" s="478">
        <f>transport!E54</f>
        <v>0</v>
      </c>
      <c r="F10" s="478">
        <f>transport!F54</f>
        <v>0</v>
      </c>
      <c r="G10" s="478">
        <f>transport!G54</f>
        <v>1168.1085263156633</v>
      </c>
      <c r="H10" s="478">
        <f>transport!H54</f>
        <v>0</v>
      </c>
      <c r="I10" s="478">
        <f>transport!I54</f>
        <v>0</v>
      </c>
      <c r="J10" s="478">
        <f>transport!J54</f>
        <v>0</v>
      </c>
      <c r="K10" s="478">
        <f>transport!K54</f>
        <v>0</v>
      </c>
      <c r="L10" s="478">
        <f>transport!L54</f>
        <v>0</v>
      </c>
      <c r="M10" s="478">
        <f>transport!M54</f>
        <v>66.343407590414785</v>
      </c>
      <c r="N10" s="478">
        <f>transport!N54</f>
        <v>0</v>
      </c>
      <c r="O10" s="478">
        <f>transport!O54</f>
        <v>0</v>
      </c>
      <c r="P10" s="479">
        <f>transport!P54</f>
        <v>0</v>
      </c>
      <c r="Q10" s="477">
        <f t="shared" si="0"/>
        <v>1234.451933906078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52264.981641066071</v>
      </c>
      <c r="C14" s="488">
        <f t="shared" ref="C14:Q14" ca="1" si="1">SUM(C4:C13)</f>
        <v>64.285714285714292</v>
      </c>
      <c r="D14" s="488">
        <f t="shared" ca="1" si="1"/>
        <v>54561.084902720431</v>
      </c>
      <c r="E14" s="488">
        <f t="shared" si="1"/>
        <v>4938.6714239061866</v>
      </c>
      <c r="F14" s="488">
        <f t="shared" ca="1" si="1"/>
        <v>66404.72284892766</v>
      </c>
      <c r="G14" s="488">
        <f t="shared" si="1"/>
        <v>55982.303333808537</v>
      </c>
      <c r="H14" s="488">
        <f t="shared" si="1"/>
        <v>11339.595594345625</v>
      </c>
      <c r="I14" s="488">
        <f t="shared" si="1"/>
        <v>0</v>
      </c>
      <c r="J14" s="488">
        <f t="shared" si="1"/>
        <v>827.78678439013891</v>
      </c>
      <c r="K14" s="488">
        <f t="shared" si="1"/>
        <v>0</v>
      </c>
      <c r="L14" s="488">
        <f t="shared" ca="1" si="1"/>
        <v>0</v>
      </c>
      <c r="M14" s="488">
        <f t="shared" si="1"/>
        <v>3605.4553606003019</v>
      </c>
      <c r="N14" s="488">
        <f t="shared" ca="1" si="1"/>
        <v>15063.138538030922</v>
      </c>
      <c r="O14" s="488">
        <f t="shared" si="1"/>
        <v>165.71333333333334</v>
      </c>
      <c r="P14" s="489">
        <f t="shared" si="1"/>
        <v>819.86666666666667</v>
      </c>
      <c r="Q14" s="489">
        <f t="shared" ca="1" si="1"/>
        <v>266037.60614208155</v>
      </c>
    </row>
    <row r="16" spans="1:17">
      <c r="A16" s="491" t="s">
        <v>556</v>
      </c>
      <c r="B16" s="841">
        <f ca="1">huishoudens!B10</f>
        <v>0.19270342619512737</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3413.0331086621468</v>
      </c>
      <c r="C21" s="478">
        <f t="shared" ref="C21:C30" ca="1" si="3">C4*$C$16</f>
        <v>0</v>
      </c>
      <c r="D21" s="478">
        <f t="shared" ref="D21:D30" si="4">D4*$D$16</f>
        <v>5579.4721603170001</v>
      </c>
      <c r="E21" s="478">
        <f t="shared" ref="E21:E30" si="5">E4*$E$16</f>
        <v>828.37004949101834</v>
      </c>
      <c r="F21" s="478">
        <f t="shared" ref="F21:F30" si="6">F4*$F$16</f>
        <v>11707.83783686768</v>
      </c>
      <c r="G21" s="478">
        <f t="shared" ref="G21:G30" si="7">G4*$G$16</f>
        <v>0</v>
      </c>
      <c r="H21" s="478">
        <f t="shared" ref="H21:H30" si="8">H4*$H$16</f>
        <v>0</v>
      </c>
      <c r="I21" s="478">
        <f t="shared" ref="I21:I30" si="9">I4*$I$16</f>
        <v>0</v>
      </c>
      <c r="J21" s="478">
        <f t="shared" ref="J21:J30" si="10">J4*$J$16</f>
        <v>89.871521374871776</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21618.584676712719</v>
      </c>
    </row>
    <row r="22" spans="1:17">
      <c r="A22" s="477" t="s">
        <v>156</v>
      </c>
      <c r="B22" s="478">
        <f t="shared" ca="1" si="2"/>
        <v>4004.2596568799386</v>
      </c>
      <c r="C22" s="478">
        <f t="shared" ca="1" si="3"/>
        <v>0</v>
      </c>
      <c r="D22" s="478">
        <f t="shared" ca="1" si="4"/>
        <v>1963.0272505316002</v>
      </c>
      <c r="E22" s="478">
        <f t="shared" si="5"/>
        <v>97.332868051912854</v>
      </c>
      <c r="F22" s="478">
        <f t="shared" ca="1" si="6"/>
        <v>1011.9908355084165</v>
      </c>
      <c r="G22" s="478">
        <f t="shared" si="7"/>
        <v>0</v>
      </c>
      <c r="H22" s="478">
        <f t="shared" si="8"/>
        <v>0</v>
      </c>
      <c r="I22" s="478">
        <f t="shared" si="9"/>
        <v>0</v>
      </c>
      <c r="J22" s="478">
        <f t="shared" si="10"/>
        <v>1.4832809642302637E-2</v>
      </c>
      <c r="K22" s="478">
        <f t="shared" si="11"/>
        <v>0</v>
      </c>
      <c r="L22" s="478">
        <f t="shared" ca="1" si="12"/>
        <v>0</v>
      </c>
      <c r="M22" s="478">
        <f t="shared" si="13"/>
        <v>0</v>
      </c>
      <c r="N22" s="478">
        <f t="shared" ca="1" si="14"/>
        <v>0</v>
      </c>
      <c r="O22" s="478">
        <f t="shared" si="15"/>
        <v>0</v>
      </c>
      <c r="P22" s="479">
        <f t="shared" si="16"/>
        <v>0</v>
      </c>
      <c r="Q22" s="477">
        <f t="shared" ref="Q22:Q30" ca="1" si="17">SUM(B22:P22)</f>
        <v>7076.6254437815096</v>
      </c>
    </row>
    <row r="23" spans="1:17">
      <c r="A23" s="477" t="s">
        <v>194</v>
      </c>
      <c r="B23" s="478">
        <f t="shared" ca="1" si="2"/>
        <v>106.15048961615973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106.15048961615973</v>
      </c>
    </row>
    <row r="24" spans="1:17">
      <c r="A24" s="477" t="s">
        <v>112</v>
      </c>
      <c r="B24" s="478">
        <f t="shared" ca="1" si="2"/>
        <v>761.06503115272415</v>
      </c>
      <c r="C24" s="478">
        <f t="shared" ca="1" si="3"/>
        <v>15.277310924369752</v>
      </c>
      <c r="D24" s="478">
        <f t="shared" si="4"/>
        <v>398.56042955257146</v>
      </c>
      <c r="E24" s="478">
        <f t="shared" si="5"/>
        <v>26.351352245657058</v>
      </c>
      <c r="F24" s="478">
        <f t="shared" si="6"/>
        <v>4392.9597605453346</v>
      </c>
      <c r="G24" s="478">
        <f t="shared" si="7"/>
        <v>0</v>
      </c>
      <c r="H24" s="478">
        <f t="shared" si="8"/>
        <v>0</v>
      </c>
      <c r="I24" s="478">
        <f t="shared" si="9"/>
        <v>0</v>
      </c>
      <c r="J24" s="478">
        <f t="shared" si="10"/>
        <v>202.55343312208089</v>
      </c>
      <c r="K24" s="478">
        <f t="shared" si="11"/>
        <v>0</v>
      </c>
      <c r="L24" s="478">
        <f t="shared" si="12"/>
        <v>0</v>
      </c>
      <c r="M24" s="478">
        <f t="shared" si="13"/>
        <v>0</v>
      </c>
      <c r="N24" s="478">
        <f t="shared" si="14"/>
        <v>0</v>
      </c>
      <c r="O24" s="478">
        <f t="shared" si="15"/>
        <v>0</v>
      </c>
      <c r="P24" s="479">
        <f t="shared" si="16"/>
        <v>0</v>
      </c>
      <c r="Q24" s="477">
        <f t="shared" ca="1" si="17"/>
        <v>5796.7673175427381</v>
      </c>
    </row>
    <row r="25" spans="1:17">
      <c r="A25" s="477" t="s">
        <v>635</v>
      </c>
      <c r="B25" s="478">
        <f t="shared" ca="1" si="2"/>
        <v>1781.4581255168014</v>
      </c>
      <c r="C25" s="478">
        <f t="shared" ca="1" si="3"/>
        <v>0</v>
      </c>
      <c r="D25" s="478">
        <f t="shared" si="4"/>
        <v>3059.9899126280006</v>
      </c>
      <c r="E25" s="478">
        <f t="shared" si="5"/>
        <v>138.50994672702504</v>
      </c>
      <c r="F25" s="478">
        <f t="shared" si="6"/>
        <v>617.27256774225611</v>
      </c>
      <c r="G25" s="478">
        <f t="shared" si="7"/>
        <v>0</v>
      </c>
      <c r="H25" s="478">
        <f t="shared" si="8"/>
        <v>0</v>
      </c>
      <c r="I25" s="478">
        <f t="shared" si="9"/>
        <v>0</v>
      </c>
      <c r="J25" s="478">
        <f t="shared" si="10"/>
        <v>0.59673436751416786</v>
      </c>
      <c r="K25" s="478">
        <f t="shared" si="11"/>
        <v>0</v>
      </c>
      <c r="L25" s="478">
        <f t="shared" si="12"/>
        <v>0</v>
      </c>
      <c r="M25" s="478">
        <f t="shared" si="13"/>
        <v>0</v>
      </c>
      <c r="N25" s="478">
        <f t="shared" si="14"/>
        <v>0</v>
      </c>
      <c r="O25" s="478">
        <f t="shared" si="15"/>
        <v>0</v>
      </c>
      <c r="P25" s="479">
        <f t="shared" si="16"/>
        <v>0</v>
      </c>
      <c r="Q25" s="477">
        <f t="shared" ca="1" si="17"/>
        <v>5597.8272869815964</v>
      </c>
    </row>
    <row r="26" spans="1:17" s="483" customFormat="1">
      <c r="A26" s="481" t="s">
        <v>561</v>
      </c>
      <c r="B26" s="835">
        <f t="shared" ca="1" si="2"/>
        <v>5.6746204310906352</v>
      </c>
      <c r="C26" s="482">
        <f t="shared" ca="1" si="3"/>
        <v>0</v>
      </c>
      <c r="D26" s="482">
        <f t="shared" si="4"/>
        <v>20.289397320355128</v>
      </c>
      <c r="E26" s="482">
        <f t="shared" si="5"/>
        <v>30.514196711091017</v>
      </c>
      <c r="F26" s="482">
        <f t="shared" si="6"/>
        <v>0</v>
      </c>
      <c r="G26" s="482">
        <f t="shared" si="7"/>
        <v>14635.390013600598</v>
      </c>
      <c r="H26" s="482">
        <f t="shared" si="8"/>
        <v>2823.5593029920606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17515.427531055197</v>
      </c>
    </row>
    <row r="27" spans="1:17">
      <c r="A27" s="477" t="s">
        <v>551</v>
      </c>
      <c r="B27" s="478">
        <f t="shared" ca="1" si="2"/>
        <v>0</v>
      </c>
      <c r="C27" s="478">
        <f t="shared" ca="1" si="3"/>
        <v>0</v>
      </c>
      <c r="D27" s="478">
        <f t="shared" si="4"/>
        <v>0</v>
      </c>
      <c r="E27" s="478">
        <f t="shared" si="5"/>
        <v>0</v>
      </c>
      <c r="F27" s="478">
        <f t="shared" si="6"/>
        <v>0</v>
      </c>
      <c r="G27" s="478">
        <f t="shared" si="7"/>
        <v>311.88497652628212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311.88497652628212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10071.641032258862</v>
      </c>
      <c r="C31" s="488">
        <f t="shared" ca="1" si="18"/>
        <v>15.277310924369752</v>
      </c>
      <c r="D31" s="488">
        <f t="shared" ca="1" si="18"/>
        <v>11021.339150349528</v>
      </c>
      <c r="E31" s="488">
        <f t="shared" si="18"/>
        <v>1121.0784132267042</v>
      </c>
      <c r="F31" s="488">
        <f t="shared" ca="1" si="18"/>
        <v>17730.061000663689</v>
      </c>
      <c r="G31" s="488">
        <f t="shared" si="18"/>
        <v>14947.27499012688</v>
      </c>
      <c r="H31" s="488">
        <f t="shared" si="18"/>
        <v>2823.5593029920606</v>
      </c>
      <c r="I31" s="488">
        <f t="shared" si="18"/>
        <v>0</v>
      </c>
      <c r="J31" s="488">
        <f t="shared" si="18"/>
        <v>293.03652167410911</v>
      </c>
      <c r="K31" s="488">
        <f t="shared" si="18"/>
        <v>0</v>
      </c>
      <c r="L31" s="488">
        <f t="shared" ca="1" si="18"/>
        <v>0</v>
      </c>
      <c r="M31" s="488">
        <f t="shared" si="18"/>
        <v>0</v>
      </c>
      <c r="N31" s="488">
        <f t="shared" ca="1" si="18"/>
        <v>0</v>
      </c>
      <c r="O31" s="488">
        <f t="shared" si="18"/>
        <v>0</v>
      </c>
      <c r="P31" s="489">
        <f t="shared" si="18"/>
        <v>0</v>
      </c>
      <c r="Q31" s="489">
        <f t="shared" ca="1" si="18"/>
        <v>58023.267722216202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0.19270342619512737</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0.19270342619512737</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0.19270342619512737</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2018-09-06T12:49:27Z</dcterms:modified>
</cp:coreProperties>
</file>