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18" i="15"/>
  <c r="C20" s="1"/>
  <c r="D36" i="14" s="1"/>
  <c r="C20" i="16"/>
  <c r="C22" s="1"/>
  <c r="D39" i="14" s="1"/>
  <c r="O13"/>
  <c r="O15"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<sst xmlns="http://schemas.openxmlformats.org/spreadsheetml/2006/main" count="1923" uniqueCount="815">
  <si>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</si>
  <si>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</si>
  <si>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</si>
  <si>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</si>
  <si>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</si>
  <si>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</si>
  <si>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</si>
  <si>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</si>
  <si>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</si>
  <si>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</si>
  <si>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</si>
  <si>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</si>
  <si>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</si>
  <si>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</si>
  <si>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</si>
  <si>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</si>
  <si>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</si>
  <si>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</si>
  <si>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</si>
  <si>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</si>
  <si>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</si>
  <si>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</si>
  <si>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</si>
  <si>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</si>
  <si>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</si>
  <si>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</si>
  <si>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</si>
  <si>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</si>
  <si>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</si>
  <si>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</si>
  <si>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</si>
  <si>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</si>
  <si>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</si>
  <si>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</si>
  <si>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</si>
  <si>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</si>
  <si>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</si>
  <si>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</si>
  <si>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</si>
  <si>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</si>
  <si>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</si>
  <si>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</si>
  <si>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</si>
  <si>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</si>
  <si>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</si>
  <si>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</si>
  <si>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</si>
  <si>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</si>
  <si>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</si>
  <si>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</si>
  <si>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</si>
  <si>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</si>
  <si>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</si>
  <si>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</si>
  <si>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</si>
  <si>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</si>
  <si>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</si>
  <si>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</si>
  <si>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</si>
  <si>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</si>
  <si>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</si>
  <si>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</si>
  <si>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</si>
  <si>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</si>
  <si>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</si>
  <si>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</si>
  <si>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</si>
  <si>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</si>
  <si>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</si>
  <si>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</si>
  <si>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</si>
  <si>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</si>
  <si>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</si>
  <si>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</si>
  <si>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</si>
  <si>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</si>
  <si>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</si>
  <si>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</si>
  <si>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</si>
  <si>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</si>
  <si>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</si>
  <si>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</si>
  <si>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</si>
  <si>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</si>
  <si>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</si>
  <si>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</si>
  <si>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</si>
  <si>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</si>
  <si>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</si>
  <si>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</si>
  <si>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</si>
  <si>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</si>
  <si>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</si>
  <si>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</si>
  <si>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</si>
  <si>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</si>
  <si>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</si>
  <si>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</si>
  <si>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</si>
  <si>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</si>
  <si>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</si>
  <si>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</si>
  <si>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</si>
  <si>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</si>
  <si>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</si>
  <si>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</si>
  <si>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</si>
  <si>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</si>
  <si>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</si>
  <si>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</si>
  <si>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</si>
  <si>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</si>
  <si>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</si>
  <si>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</si>
  <si>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</si>
  <si>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</si>
  <si>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</si>
  <si>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</si>
  <si>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</si>
  <si>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</si>
  <si>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</si>
  <si>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</si>
  <si>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</si>
  <si>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</si>
  <si>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</si>
  <si>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</si>
  <si>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</si>
  <si>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</si>
  <si>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</si>
  <si>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</si>
  <si>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</si>
  <si>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</si>
  <si>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</si>
  <si>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</si>
  <si>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</si>
  <si>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</si>
  <si>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</si>
  <si>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</si>
  <si>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</si>
  <si>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</si>
  <si>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</si>
  <si>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</si>
  <si>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</si>
  <si>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</si>
  <si>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</si>
  <si>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</si>
  <si>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</si>
  <si>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</si>
  <si>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</si>
  <si>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</si>
  <si>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</si>
  <si>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</si>
  <si>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</si>
  <si>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</si>
  <si>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</si>
  <si>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</si>
  <si>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</si>
  <si>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</si>
  <si>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</si>
  <si>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</si>
  <si>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</si>
  <si>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</si>
  <si>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</si>
  <si>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</si>
  <si>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</si>
  <si>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</si>
  <si>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</si>
  <si>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</si>
  <si>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</si>
  <si>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</si>
  <si>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</si>
  <si>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</si>
  <si>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</si>
  <si>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</si>
  <si>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</si>
  <si>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</si>
  <si>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</si>
  <si>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</si>
  <si>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</si>
  <si>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</si>
  <si>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</si>
  <si>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</si>
  <si>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</si>
  <si>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</si>
  <si>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</si>
  <si>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</si>
  <si>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</si>
  <si>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</si>
  <si>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</si>
  <si>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</si>
  <si>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</si>
  <si>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</si>
  <si>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</si>
  <si>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</si>
  <si>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</si>
  <si>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</si>
  <si>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</si>
  <si>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</si>
  <si>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</si>
  <si>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</si>
  <si>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</si>
  <si>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</si>
  <si>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</si>
  <si>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</si>
  <si>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</si>
  <si>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</si>
  <si>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</si>
  <si>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</si>
  <si>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</si>
  <si>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</si>
  <si>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</si>
  <si>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</si>
  <si>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</si>
  <si>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</si>
  <si>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</si>
  <si>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</si>
  <si>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</si>
  <si>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</si>
  <si>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</si>
  <si>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</si>
  <si>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</si>
  <si>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</si>
  <si>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</si>
  <si>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</si>
  <si>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</si>
  <si>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</si>
  <si>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</si>
  <si>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</si>
  <si>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</si>
  <si>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</si>
  <si>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</si>
  <si>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</si>
  <si>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</si>
  <si>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</si>
  <si>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</si>
  <si>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</si>
  <si>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</si>
  <si>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</si>
  <si>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</si>
  <si>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</si>
  <si>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</si>
  <si>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</si>
  <si>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</si>
  <si>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</si>
  <si>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</si>
  <si>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</si>
  <si>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</si>
  <si>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</si>
  <si>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</si>
  <si>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</si>
  <si>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</si>
  <si>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</si>
  <si>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</si>
  <si>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</si>
  <si>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</si>
  <si>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</si>
  <si>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</si>
  <si>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</si>
  <si>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</si>
  <si>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</si>
  <si>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</si>
  <si>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</si>
  <si>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</si>
  <si>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</si>
  <si>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</si>
  <si>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</si>
  <si>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</si>
  <si>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</si>
  <si>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</si>
  <si>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</si>
  <si>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</si>
  <si>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</si>
  <si>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</si>
  <si>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</si>
  <si>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</si>
  <si>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</si>
  <si>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</si>
  <si>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</si>
  <si>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</si>
  <si>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</si>
  <si>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</si>
  <si>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</si>
  <si>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</si>
  <si>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</si>
  <si>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</si>
  <si>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</si>
  <si>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</si>
  <si>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</si>
  <si>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</si>
  <si>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</si>
  <si>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</si>
  <si>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</si>
  <si>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</si>
  <si>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</si>
  <si>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</si>
  <si>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</si>
  <si>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</si>
  <si>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</si>
  <si>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</si>
  <si>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</si>
  <si>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</si>
  <si>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</si>
  <si>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</si>
  <si>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</si>
  <si>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</si>
  <si>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</si>
  <si>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</si>
  <si>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</si>
  <si>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</si>
  <si>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</si>
  <si>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</si>
  <si>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</si>
  <si>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</si>
  <si>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</si>
  <si>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</si>
  <si>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</si>
  <si>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</si>
  <si>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</si>
  <si>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</si>
  <si>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</si>
  <si>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</si>
  <si>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</si>
  <si>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</si>
  <si>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</si>
  <si>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</si>
  <si>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</si>
  <si>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</si>
  <si>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</si>
  <si>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</si>
  <si>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</si>
  <si>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</si>
  <si>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</si>
  <si>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</si>
  <si>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</si>
  <si>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</si>
  <si>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</si>
  <si>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</si>
  <si>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</si>
  <si>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</si>
  <si>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</si>
  <si>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</si>
  <si>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</si>
  <si>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</si>
  <si>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</si>
  <si>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</si>
  <si>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</si>
  <si>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</si>
  <si>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</si>
  <si>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</si>
  <si>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</si>
  <si>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</si>
  <si>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</si>
  <si>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</si>
  <si>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</si>
  <si>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</si>
  <si>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</si>
  <si>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</si>
  <si>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</si>
  <si>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</si>
  <si>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</si>
  <si>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</si>
  <si>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</si>
  <si>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</si>
  <si>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</si>
  <si>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</si>
  <si>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</si>
  <si>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</si>
  <si>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</si>
  <si>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</si>
  <si>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</si>
  <si>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</si>
  <si>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</si>
  <si>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</si>
  <si>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</si>
  <si>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</si>
  <si>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</si>
  <si>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</si>
  <si>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</si>
  <si>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</si>
  <si>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</si>
  <si>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</si>
  <si>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</si>
  <si>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</si>
  <si>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</si>
  <si>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</si>
  <si>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</si>
  <si>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</si>
  <si>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</si>
  <si>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</si>
  <si>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</si>
  <si>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</si>
  <si>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</si>
  <si>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</si>
  <si>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</si>
  <si>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</si>
  <si>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</si>
  <si>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</si>
  <si>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</si>
  <si>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</si>
  <si>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</si>
  <si>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</si>
  <si>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</si>
  <si>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</si>
  <si>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</si>
  <si>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</si>
  <si>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</si>
  <si>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</si>
  <si>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</si>
  <si>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</si>
  <si>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</si>
  <si>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</si>
  <si>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</si>
  <si>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</si>
  <si>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</si>
  <si>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</si>
  <si>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</si>
  <si>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</si>
  <si>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</si>
  <si>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</si>
  <si>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</si>
  <si>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</si>
  <si>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</si>
  <si>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</si>
  <si>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</si>
  <si>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</si>
  <si>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</si>
  <si>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</si>
  <si>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</si>
  <si>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</si>
  <si>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</si>
  <si>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</si>
  <si>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</si>
  <si>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</si>
  <si>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</si>
  <si>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</si>
  <si>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</si>
  <si>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</si>
  <si>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</si>
  <si>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</si>
  <si>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</si>
  <si>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</si>
  <si>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</si>
  <si>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</si>
  <si>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</si>
  <si>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</si>
  <si>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</si>
  <si>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</si>
  <si>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</si>
  <si>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</si>
  <si>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</si>
  <si>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</si>
  <si>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</si>
  <si>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</si>
  <si>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</si>
  <si>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</si>
  <si>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</si>
  <si>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</si>
  <si>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</si>
  <si>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</si>
  <si>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</si>
  <si>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</si>
  <si>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</si>
  <si>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</si>
  <si>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</si>
  <si>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</si>
  <si>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</si>
  <si>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</si>
  <si>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</si>
  <si>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</si>
  <si>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</si>
  <si>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</si>
  <si>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</si>
  <si>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</si>
  <si>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</si>
  <si>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</si>
  <si>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</si>
  <si>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</si>
  <si>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</si>
  <si>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</si>
  <si>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</si>
  <si>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</si>
  <si>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</si>
  <si>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</si>
  <si>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</si>
  <si>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</si>
  <si>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</si>
  <si>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</si>
  <si>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</si>
  <si>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</si>
  <si>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</si>
  <si>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</si>
  <si>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</si>
  <si>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</si>
  <si>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</si>
  <si>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</si>
  <si>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</si>
  <si>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</si>
  <si>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</si>
  <si>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</si>
  <si>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</si>
  <si>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</si>
  <si>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</si>
  <si>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</si>
  <si>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</si>
  <si>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</si>
  <si>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</si>
  <si>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</si>
  <si>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</si>
  <si>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</si>
  <si>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</si>
  <si>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</si>
  <si>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</si>
  <si>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</si>
  <si>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</si>
  <si>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</si>
  <si>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</si>
  <si>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</si>
  <si>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</si>
  <si>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</si>
  <si>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</si>
  <si>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</si>
  <si>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</si>
  <si>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</si>
  <si>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</si>
  <si>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</si>
  <si>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</si>
  <si>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</si>
  <si>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</si>
  <si>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</si>
  <si>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</si>
  <si>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</si>
  <si>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</si>
  <si>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</si>
  <si>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</si>
  <si>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</si>
  <si>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</si>
  <si>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</si>
  <si>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</si>
  <si>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</si>
  <si>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</si>
  <si>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</si>
  <si>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</si>
  <si>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</si>
  <si>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</si>
  <si>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</si>
  <si>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</si>
  <si>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</si>
  <si>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</si>
  <si>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</si>
  <si>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</si>
  <si>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</si>
  <si>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</si>
  <si>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</si>
  <si>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</si>
  <si>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</si>
  <si>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</si>
  <si>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</si>
  <si>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</si>
  <si>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</si>
  <si>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</si>
  <si>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</si>
  <si>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</si>
  <si>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</si>
  <si>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</si>
  <si>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</si>
  <si>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</si>
  <si>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</si>
  <si>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</si>
  <si>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</si>
  <si>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</si>
  <si>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</si>
  <si>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</si>
  <si>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</si>
  <si>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</si>
  <si>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</si>
  <si>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</si>
  <si>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</si>
  <si>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</si>
  <si>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</si>
  <si>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</si>
  <si>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</si>
  <si>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</si>
  <si>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</si>
  <si>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</si>
  <si>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</si>
  <si>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</si>
  <si>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</si>
  <si>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</si>
  <si>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</si>
  <si>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</si>
  <si>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</si>
  <si>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</si>
  <si>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</si>
  <si>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</si>
  <si>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</si>
  <si>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</si>
  <si>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</si>
  <si>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</si>
  <si>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</si>
  <si>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</si>
  <si>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</si>
  <si>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</si>
  <si>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</si>
  <si>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</si>
  <si>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</si>
  <si>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</si>
  <si>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</si>
  <si>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</si>
  <si>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</si>
  <si>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</si>
  <si>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</si>
  <si>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</si>
  <si>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</si>
  <si>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</si>
  <si>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</si>
  <si>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</si>
  <si>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</si>
  <si>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</si>
  <si>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</si>
  <si>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</si>
  <si>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</si>
  <si>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</si>
  <si>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</si>
  <si>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</si>
  <si>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</si>
  <si>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</si>
  <si>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</si>
  <si>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</si>
  <si>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</si>
  <si>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</si>
  <si>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</si>
  <si>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</si>
  <si>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</si>
  <si>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</si>
  <si>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</si>
  <si>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</si>
  <si>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</si>
  <si>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</si>
  <si>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</si>
  <si>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</si>
  <si>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</si>
  <si>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</si>
  <si>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</si>
  <si>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</si>
  <si>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</si>
  <si>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</si>
  <si>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</si>
  <si>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</si>
  <si>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</si>
  <si>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</si>
  <si>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</si>
  <si>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</si>
  <si>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</si>
  <si>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</si>
  <si>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</si>
  <si>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</si>
  <si>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</si>
  <si>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</si>
  <si>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</si>
  <si>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</si>
  <si>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</si>
  <si>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</si>
  <si>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</si>
  <si>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</si>
  <si>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</si>
  <si>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</si>
  <si>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</si>
  <si>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</si>
  <si>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</si>
  <si>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</si>
  <si>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</si>
  <si>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</si>
  <si>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</si>
  <si>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</si>
  <si>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</si>
  <si>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</si>
  <si>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</si>
  <si>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</si>
  <si>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</si>
  <si>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</si>
  <si>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</si>
  <si>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</si>
  <si>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</si>
  <si>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</si>
  <si>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</si>
  <si>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</si>
  <si>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</si>
  <si>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</si>
  <si>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</si>
  <si>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</si>
  <si>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</si>
  <si>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</si>
  <si>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</si>
  <si>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</si>
  <si>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</si>
  <si>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</si>
  <si>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</si>
  <si>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</si>
  <si>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</si>
  <si>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</si>
  <si>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</si>
  <si>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</si>
  <si>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</si>
  <si>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</si>
  <si>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</si>
  <si>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</si>
  <si>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</si>
  <si>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</si>
  <si>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</si>
  <si>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</si>
  <si>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</si>
  <si>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</si>
  <si>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</si>
  <si>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</si>
  <si>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</si>
  <si>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</si>
  <si>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</si>
  <si>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</si>
  <si>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</si>
  <si>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</si>
  <si>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</si>
  <si>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</si>
  <si>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</si>
  <si>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</si>
  <si>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</si>
  <si>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</si>
  <si>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</si>
  <si>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</si>
  <si>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</si>
  <si>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</si>
  <si>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</si>
  <si>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</si>
  <si>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</si>
  <si>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</si>
  <si>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</si>
  <si>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</si>
  <si>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</si>
  <si>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</si>
  <si>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</si>
  <si>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</si>
  <si>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</si>
  <si>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</si>
  <si>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</si>
  <si>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</si>
  <si>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</si>
  <si>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</si>
  <si>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</si>
  <si>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</si>
  <si>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</si>
  <si>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</si>
  <si>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</si>
  <si>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</si>
  <si>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</si>
  <si>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</si>
  <si>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</si>
  <si>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</si>
  <si>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</si>
  <si>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</si>
  <si>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</si>
  <si>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</si>
  <si>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</si>
  <si>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</si>
  <si>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</si>
  <si>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</si>
  <si>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</si>
  <si>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</si>
  <si>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</si>
  <si>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</si>
  <si>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</si>
  <si>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</si>
  <si>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</si>
  <si>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</si>
  <si>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</si>
  <si>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</si>
  <si>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</si>
  <si>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</si>
  <si>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</si>
  <si>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</si>
  <si>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</si>
  <si>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</si>
  <si>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</si>
  <si>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</si>
  <si>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</si>
  <si>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</si>
  <si>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</si>
  <si>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</si>
  <si>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</si>
  <si>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</si>
  <si>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</si>
  <si>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</si>
  <si>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</si>
  <si>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</si>
  <si>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</si>
  <si>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</si>
  <si>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</si>
  <si>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</si>
  <si>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</si>
  <si>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</si>
  <si>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</si>
  <si>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</si>
  <si>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</si>
  <si>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72029</t>
  </si>
  <si>
    <t>OVERPELT</t>
  </si>
  <si>
    <t>Eandis (januari 2018); Infrax (juni 2018)</t>
  </si>
  <si>
    <t>MOW (september 2017)</t>
  </si>
  <si>
    <t>referentietaak LNE (2017); Jaarverslag De Lijn (2016)</t>
  </si>
  <si>
    <t>VEA (april 2018)</t>
  </si>
  <si>
    <t>VEA (januari 2017)</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</si>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</sst>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116261.59503170651</c:v>
                </c:pt>
                <c:pt idx="1">
                  <c:v>67068.002060381783</c:v>
                </c:pt>
                <c:pt idx="2">
                  <c:v>1012.429</c:v>
                </c:pt>
                <c:pt idx="3">
                  <c:v>2759.3588735803432</c:v>
                </c:pt>
                <c:pt idx="4">
                  <c:v>166492.57734192495</c:v>
                </c:pt>
                <c:pt idx="5">
                  <c:v>98313.945450375671</c:v>
                </c:pt>
                <c:pt idx="6">
                  <c:v>2091.3812697770459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116261.59503170651</c:v>
                </c:pt>
                <c:pt idx="1">
                  <c:v>67068.002060381783</c:v>
                </c:pt>
                <c:pt idx="2">
                  <c:v>1012.429</c:v>
                </c:pt>
                <c:pt idx="3">
                  <c:v>2759.3588735803432</c:v>
                </c:pt>
                <c:pt idx="4">
                  <c:v>166492.57734192495</c:v>
                </c:pt>
                <c:pt idx="5">
                  <c:v>98313.945450375671</c:v>
                </c:pt>
                <c:pt idx="6">
                  <c:v>2091.3812697770459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19957.595209396779</c:v>
                </c:pt>
                <c:pt idx="1">
                  <c:v>12859.692482290597</c:v>
                </c:pt>
                <c:pt idx="2">
                  <c:v>188.53924217884574</c:v>
                </c:pt>
                <c:pt idx="3">
                  <c:v>653.55699411295586</c:v>
                </c:pt>
                <c:pt idx="4">
                  <c:v>29028.878527177654</c:v>
                </c:pt>
                <c:pt idx="5">
                  <c:v>24605.715991725938</c:v>
                </c:pt>
                <c:pt idx="6">
                  <c:v>528.38865598273458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4624"/>
      </c:barChart>
      <c:catAx>
        <c:axId val="156936448"/>
        <c:scaling>
          <c:orientation val="minMax"/>
        </c:scaling>
        <c:axPos val="b"/>
        <c:numFmt formatCode="General" sourceLinked="0"/>
        <c:tickLblPos val="nextTo"/>
        <c:crossAx val="156954624"/>
        <c:crosses val="autoZero"/>
        <c:auto val="1"/>
        <c:lblAlgn val="ctr"/>
        <c:lblOffset val="100"/>
      </c:catAx>
      <c:valAx>
        <c:axId val="156954624"/>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19957.595209396779</c:v>
                </c:pt>
                <c:pt idx="1">
                  <c:v>12859.692482290597</c:v>
                </c:pt>
                <c:pt idx="2">
                  <c:v>188.53924217884574</c:v>
                </c:pt>
                <c:pt idx="3">
                  <c:v>653.55699411295586</c:v>
                </c:pt>
                <c:pt idx="4">
                  <c:v>29028.878527177654</c:v>
                </c:pt>
                <c:pt idx="5">
                  <c:v>24605.715991725938</c:v>
                </c:pt>
                <c:pt idx="6">
                  <c:v>528.38865598273458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6180</v>
      </c>
      <c r="C9" s="342">
        <v>6109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1149.03</v>
      </c>
    </row>
    <row r="15" spans="1:6">
      <c r="A15" s="348" t="s">
        <v>184</v>
      </c>
      <c r="B15" s="334">
        <v>1749</v>
      </c>
    </row>
    <row r="16" spans="1:6">
      <c r="A16" s="348" t="s">
        <v>6</v>
      </c>
      <c r="B16" s="334">
        <v>1147</v>
      </c>
    </row>
    <row r="17" spans="1:6">
      <c r="A17" s="348" t="s">
        <v>7</v>
      </c>
      <c r="B17" s="334">
        <v>30</v>
      </c>
    </row>
    <row r="18" spans="1:6">
      <c r="A18" s="348" t="s">
        <v>8</v>
      </c>
      <c r="B18" s="334">
        <v>588</v>
      </c>
    </row>
    <row r="19" spans="1:6">
      <c r="A19" s="348" t="s">
        <v>9</v>
      </c>
      <c r="B19" s="334">
        <v>532</v>
      </c>
    </row>
    <row r="20" spans="1:6">
      <c r="A20" s="348" t="s">
        <v>10</v>
      </c>
      <c r="B20" s="334">
        <v>129</v>
      </c>
    </row>
    <row r="21" spans="1:6">
      <c r="A21" s="348" t="s">
        <v>11</v>
      </c>
      <c r="B21" s="334">
        <v>0</v>
      </c>
    </row>
    <row r="22" spans="1:6">
      <c r="A22" s="348" t="s">
        <v>12</v>
      </c>
      <c r="B22" s="334">
        <v>179</v>
      </c>
    </row>
    <row r="23" spans="1:6">
      <c r="A23" s="348" t="s">
        <v>13</v>
      </c>
      <c r="B23" s="334">
        <v>0</v>
      </c>
    </row>
    <row r="24" spans="1:6">
      <c r="A24" s="348" t="s">
        <v>14</v>
      </c>
      <c r="B24" s="334">
        <v>0</v>
      </c>
    </row>
    <row r="25" spans="1:6">
      <c r="A25" s="348" t="s">
        <v>15</v>
      </c>
      <c r="B25" s="334">
        <v>0</v>
      </c>
    </row>
    <row r="26" spans="1:6">
      <c r="A26" s="348" t="s">
        <v>16</v>
      </c>
      <c r="B26" s="334">
        <v>108</v>
      </c>
    </row>
    <row r="27" spans="1:6">
      <c r="A27" s="348" t="s">
        <v>17</v>
      </c>
      <c r="B27" s="334">
        <v>3</v>
      </c>
    </row>
    <row r="28" spans="1:6" s="356" customFormat="1">
      <c r="A28" s="355" t="s">
        <v>18</v>
      </c>
      <c r="B28" s="355">
        <v>16459</v>
      </c>
    </row>
    <row r="29" spans="1:6">
      <c r="A29" s="355" t="s">
        <v>744</v>
      </c>
      <c r="B29" s="355">
        <v>98</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16432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4131</v>
      </c>
      <c r="D39" s="334">
        <v>58268030.450000003</v>
      </c>
      <c r="E39" s="334">
        <v>6329</v>
      </c>
      <c r="F39" s="334">
        <v>20700613.850000001</v>
      </c>
    </row>
    <row r="40" spans="1:6">
      <c r="A40" s="348" t="s">
        <v>30</v>
      </c>
      <c r="B40" s="348" t="s">
        <v>29</v>
      </c>
      <c r="C40" s="334">
        <v>0</v>
      </c>
      <c r="D40" s="334">
        <v>0</v>
      </c>
      <c r="E40" s="334">
        <v>0</v>
      </c>
      <c r="F40" s="334">
        <v>0</v>
      </c>
    </row>
    <row r="41" spans="1:6">
      <c r="A41" s="348" t="s">
        <v>32</v>
      </c>
      <c r="B41" s="348" t="s">
        <v>33</v>
      </c>
      <c r="C41" s="334">
        <v>70</v>
      </c>
      <c r="D41" s="334">
        <v>11199149.300000001</v>
      </c>
      <c r="E41" s="334">
        <v>153</v>
      </c>
      <c r="F41" s="334">
        <v>18377387.699999999</v>
      </c>
    </row>
    <row r="42" spans="1:6">
      <c r="A42" s="348" t="s">
        <v>32</v>
      </c>
      <c r="B42" s="348" t="s">
        <v>34</v>
      </c>
      <c r="C42" s="334">
        <v>0</v>
      </c>
      <c r="D42" s="334">
        <v>0</v>
      </c>
      <c r="E42" s="334">
        <v>3</v>
      </c>
      <c r="F42" s="334">
        <v>6558626</v>
      </c>
    </row>
    <row r="43" spans="1:6">
      <c r="A43" s="348" t="s">
        <v>32</v>
      </c>
      <c r="B43" s="348" t="s">
        <v>35</v>
      </c>
      <c r="C43" s="334">
        <v>0</v>
      </c>
      <c r="D43" s="334">
        <v>0</v>
      </c>
      <c r="E43" s="334">
        <v>3</v>
      </c>
      <c r="F43" s="334">
        <v>4129402</v>
      </c>
    </row>
    <row r="44" spans="1:6">
      <c r="A44" s="348" t="s">
        <v>32</v>
      </c>
      <c r="B44" s="348" t="s">
        <v>36</v>
      </c>
      <c r="C44" s="334">
        <v>30</v>
      </c>
      <c r="D44" s="334">
        <v>40140064</v>
      </c>
      <c r="E44" s="334">
        <v>57</v>
      </c>
      <c r="F44" s="334">
        <v>26530872</v>
      </c>
    </row>
    <row r="45" spans="1:6">
      <c r="A45" s="348" t="s">
        <v>32</v>
      </c>
      <c r="B45" s="348" t="s">
        <v>37</v>
      </c>
      <c r="C45" s="334">
        <v>3</v>
      </c>
      <c r="D45" s="334">
        <v>68605</v>
      </c>
      <c r="E45" s="334">
        <v>3</v>
      </c>
      <c r="F45" s="334">
        <v>2653836</v>
      </c>
    </row>
    <row r="46" spans="1:6">
      <c r="A46" s="348" t="s">
        <v>32</v>
      </c>
      <c r="B46" s="348" t="s">
        <v>38</v>
      </c>
      <c r="C46" s="334">
        <v>0</v>
      </c>
      <c r="D46" s="334">
        <v>0</v>
      </c>
      <c r="E46" s="334">
        <v>0</v>
      </c>
      <c r="F46" s="334">
        <v>0</v>
      </c>
    </row>
    <row r="47" spans="1:6">
      <c r="A47" s="348" t="s">
        <v>32</v>
      </c>
      <c r="B47" s="348" t="s">
        <v>39</v>
      </c>
      <c r="C47" s="334">
        <v>5</v>
      </c>
      <c r="D47" s="334">
        <v>2467242</v>
      </c>
      <c r="E47" s="334">
        <v>8</v>
      </c>
      <c r="F47" s="334">
        <v>5871871.9000000004</v>
      </c>
    </row>
    <row r="48" spans="1:6">
      <c r="A48" s="348" t="s">
        <v>32</v>
      </c>
      <c r="B48" s="348" t="s">
        <v>29</v>
      </c>
      <c r="C48" s="334">
        <v>0</v>
      </c>
      <c r="D48" s="334">
        <v>0</v>
      </c>
      <c r="E48" s="334">
        <v>0</v>
      </c>
      <c r="F48" s="334">
        <v>0</v>
      </c>
    </row>
    <row r="49" spans="1:6">
      <c r="A49" s="348" t="s">
        <v>32</v>
      </c>
      <c r="B49" s="348" t="s">
        <v>40</v>
      </c>
      <c r="C49" s="334">
        <v>5</v>
      </c>
      <c r="D49" s="334">
        <v>3795238</v>
      </c>
      <c r="E49" s="334">
        <v>6</v>
      </c>
      <c r="F49" s="334">
        <v>1423934</v>
      </c>
    </row>
    <row r="50" spans="1:6">
      <c r="A50" s="348" t="s">
        <v>32</v>
      </c>
      <c r="B50" s="348" t="s">
        <v>41</v>
      </c>
      <c r="C50" s="334">
        <v>6</v>
      </c>
      <c r="D50" s="334">
        <v>242325</v>
      </c>
      <c r="E50" s="334">
        <v>10</v>
      </c>
      <c r="F50" s="334">
        <v>116841</v>
      </c>
    </row>
    <row r="51" spans="1:6">
      <c r="A51" s="348" t="s">
        <v>42</v>
      </c>
      <c r="B51" s="348" t="s">
        <v>43</v>
      </c>
      <c r="C51" s="334">
        <v>17</v>
      </c>
      <c r="D51" s="334">
        <v>671825</v>
      </c>
      <c r="E51" s="334">
        <v>26</v>
      </c>
      <c r="F51" s="334">
        <v>391560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1012429</v>
      </c>
    </row>
    <row r="55" spans="1:6">
      <c r="A55" s="348" t="s">
        <v>46</v>
      </c>
      <c r="B55" s="348" t="s">
        <v>29</v>
      </c>
      <c r="C55" s="334">
        <v>0</v>
      </c>
      <c r="D55" s="334">
        <v>0</v>
      </c>
      <c r="E55" s="334">
        <v>0</v>
      </c>
      <c r="F55" s="334">
        <v>0</v>
      </c>
    </row>
    <row r="56" spans="1:6">
      <c r="A56" s="348" t="s">
        <v>48</v>
      </c>
      <c r="B56" s="348" t="s">
        <v>29</v>
      </c>
      <c r="C56" s="334">
        <v>6</v>
      </c>
      <c r="D56" s="334">
        <v>60120629</v>
      </c>
      <c r="E56" s="334">
        <v>7</v>
      </c>
      <c r="F56" s="334">
        <v>467110</v>
      </c>
    </row>
    <row r="57" spans="1:6">
      <c r="A57" s="348" t="s">
        <v>49</v>
      </c>
      <c r="B57" s="348" t="s">
        <v>50</v>
      </c>
      <c r="C57" s="334">
        <v>32</v>
      </c>
      <c r="D57" s="334">
        <v>2756241</v>
      </c>
      <c r="E57" s="334">
        <v>58</v>
      </c>
      <c r="F57" s="334">
        <v>3047187</v>
      </c>
    </row>
    <row r="58" spans="1:6">
      <c r="A58" s="348" t="s">
        <v>49</v>
      </c>
      <c r="B58" s="348" t="s">
        <v>51</v>
      </c>
      <c r="C58" s="334">
        <v>30</v>
      </c>
      <c r="D58" s="334">
        <v>10161511</v>
      </c>
      <c r="E58" s="334">
        <v>43</v>
      </c>
      <c r="F58" s="334">
        <v>8140698.1500000004</v>
      </c>
    </row>
    <row r="59" spans="1:6">
      <c r="A59" s="348" t="s">
        <v>49</v>
      </c>
      <c r="B59" s="348" t="s">
        <v>52</v>
      </c>
      <c r="C59" s="334">
        <v>105</v>
      </c>
      <c r="D59" s="334">
        <v>6484009.0499999998</v>
      </c>
      <c r="E59" s="334">
        <v>188</v>
      </c>
      <c r="F59" s="334">
        <v>7585200.5499999998</v>
      </c>
    </row>
    <row r="60" spans="1:6">
      <c r="A60" s="348" t="s">
        <v>49</v>
      </c>
      <c r="B60" s="348" t="s">
        <v>53</v>
      </c>
      <c r="C60" s="334">
        <v>36</v>
      </c>
      <c r="D60" s="334">
        <v>1721341</v>
      </c>
      <c r="E60" s="334">
        <v>52</v>
      </c>
      <c r="F60" s="334">
        <v>1354116</v>
      </c>
    </row>
    <row r="61" spans="1:6">
      <c r="A61" s="348" t="s">
        <v>49</v>
      </c>
      <c r="B61" s="348" t="s">
        <v>54</v>
      </c>
      <c r="C61" s="334">
        <v>94</v>
      </c>
      <c r="D61" s="334">
        <v>7348049.1999999993</v>
      </c>
      <c r="E61" s="334">
        <v>249</v>
      </c>
      <c r="F61" s="334">
        <v>8295501.0499999998</v>
      </c>
    </row>
    <row r="62" spans="1:6">
      <c r="A62" s="348" t="s">
        <v>49</v>
      </c>
      <c r="B62" s="348" t="s">
        <v>55</v>
      </c>
      <c r="C62" s="334">
        <v>19</v>
      </c>
      <c r="D62" s="334">
        <v>4087601</v>
      </c>
      <c r="E62" s="334">
        <v>22</v>
      </c>
      <c r="F62" s="334">
        <v>1108364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567298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86321570</v>
      </c>
      <c r="E73" s="476">
        <v>87154434.00608319</v>
      </c>
    </row>
    <row r="74" spans="1:6">
      <c r="A74" s="348" t="s">
        <v>64</v>
      </c>
      <c r="B74" s="348" t="s">
        <v>657</v>
      </c>
      <c r="C74" s="1213" t="s">
        <v>659</v>
      </c>
      <c r="D74" s="476">
        <v>8812269.2234461606</v>
      </c>
      <c r="E74" s="476">
        <v>8807798.4291414563</v>
      </c>
    </row>
    <row r="75" spans="1:6">
      <c r="A75" s="348" t="s">
        <v>65</v>
      </c>
      <c r="B75" s="348" t="s">
        <v>656</v>
      </c>
      <c r="C75" s="1213" t="s">
        <v>660</v>
      </c>
      <c r="D75" s="476">
        <v>22167093</v>
      </c>
      <c r="E75" s="476">
        <v>22505694.08864674</v>
      </c>
    </row>
    <row r="76" spans="1:6">
      <c r="A76" s="348" t="s">
        <v>65</v>
      </c>
      <c r="B76" s="348" t="s">
        <v>657</v>
      </c>
      <c r="C76" s="1213" t="s">
        <v>661</v>
      </c>
      <c r="D76" s="476">
        <v>932418.22344616055</v>
      </c>
      <c r="E76" s="476">
        <v>909198.24303393962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567217.55310767889</v>
      </c>
      <c r="C83" s="476">
        <v>580007.69954063534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5095.6266341977162</v>
      </c>
    </row>
    <row r="92" spans="1:6">
      <c r="A92" s="341" t="s">
        <v>69</v>
      </c>
      <c r="B92" s="342">
        <v>14126.696175589172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54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0</v>
      </c>
    </row>
    <row r="131" spans="1:6">
      <c r="A131" s="348" t="s">
        <v>296</v>
      </c>
      <c r="B131" s="334">
        <v>2</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122436.74663369592</v>
      </c>
      <c r="C3" s="43" t="s">
        <v>170</v>
      </c>
      <c r="D3" s="43"/>
      <c r="E3" s="154"/>
      <c r="F3" s="43"/>
      <c r="G3" s="43"/>
      <c r="H3" s="43"/>
      <c r="I3" s="43"/>
      <c r="J3" s="43"/>
      <c r="K3" s="96"/>
    </row>
    <row r="4" spans="1:11">
      <c r="A4" s="383" t="s">
        <v>171</v>
      </c>
      <c r="B4" s="49">
        <f>IF(ISERROR('SEAP template'!B69),0,'SEAP template'!B69)</f>
        <v>19265.97280978689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0.1862246559302882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0.1862246559302882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188.53924217884574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20700.613850000002</v>
      </c>
      <c r="C5" s="17">
        <f>IF(ISERROR('Eigen informatie GS &amp; warmtenet'!B57),0,'Eigen informatie GS &amp; warmtenet'!B57)</f>
        <v>0</v>
      </c>
      <c r="D5" s="30">
        <f>(SUM(HH_hh_gas_kWh,HH_rest_gas_kWh)/1000)*0.902</f>
        <v>52557.763465900003</v>
      </c>
      <c r="E5" s="17">
        <f>B46*B57</f>
        <v>7496.289901626913</v>
      </c>
      <c r="F5" s="17">
        <f>B51*B62</f>
        <v>10619.375180340729</v>
      </c>
      <c r="G5" s="18"/>
      <c r="H5" s="17"/>
      <c r="I5" s="17"/>
      <c r="J5" s="17">
        <f>B50*B61+C50*C61</f>
        <v>0</v>
      </c>
      <c r="K5" s="17"/>
      <c r="L5" s="17"/>
      <c r="M5" s="17"/>
      <c r="N5" s="17">
        <f>B48*B59+C48*C59</f>
        <v>17686.349332974507</v>
      </c>
      <c r="O5" s="17">
        <f>B69*B70*B71</f>
        <v>370.51000000000005</v>
      </c>
      <c r="P5" s="17">
        <f>B77*B78*B79/1000-B77*B78*B79/1000/B80</f>
        <v>1735.0666666666666</v>
      </c>
    </row>
    <row r="6" spans="1:16">
      <c r="A6" s="16" t="s">
        <v>621</v>
      </c>
      <c r="B6" s="843">
        <f>kWh_PV_kleiner_dan_10kW</f>
        <v>5095.6266341977162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25796.240484197719</v>
      </c>
      <c r="C8" s="21">
        <f>C5</f>
        <v>0</v>
      </c>
      <c r="D8" s="21">
        <f>D5</f>
        <v>52557.763465900003</v>
      </c>
      <c r="E8" s="21">
        <f>E5</f>
        <v>7496.289901626913</v>
      </c>
      <c r="F8" s="21">
        <f>F5</f>
        <v>10619.375180340729</v>
      </c>
      <c r="G8" s="21"/>
      <c r="H8" s="21"/>
      <c r="I8" s="21"/>
      <c r="J8" s="21">
        <f>J5</f>
        <v>0</v>
      </c>
      <c r="K8" s="21"/>
      <c r="L8" s="21">
        <f>L5</f>
        <v>0</v>
      </c>
      <c r="M8" s="21">
        <f>M5</f>
        <v>0</v>
      </c>
      <c r="N8" s="21">
        <f>N5</f>
        <v>17686.349332974507</v>
      </c>
      <c r="O8" s="21">
        <f>O5</f>
        <v>370.51000000000005</v>
      </c>
      <c r="P8" s="21">
        <f>P5</f>
        <v>1735.0666666666666</v>
      </c>
    </row>
    <row r="9" spans="1:16">
      <c r="B9" s="19"/>
      <c r="C9" s="19"/>
      <c r="D9" s="258"/>
      <c r="E9" s="19"/>
      <c r="F9" s="19"/>
      <c r="G9" s="19"/>
      <c r="H9" s="19"/>
      <c r="I9" s="19"/>
      <c r="J9" s="19"/>
      <c r="K9" s="19"/>
      <c r="L9" s="19"/>
      <c r="M9" s="19"/>
      <c r="N9" s="19"/>
      <c r="O9" s="19"/>
      <c r="P9" s="19"/>
    </row>
    <row r="10" spans="1:16">
      <c r="A10" s="24" t="s">
        <v>214</v>
      </c>
      <c r="B10" s="25">
        <f ca="1">'EF ele_warmte'!B12</f>
        <v>0.1862246559302882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4803.8960084646915</v>
      </c>
      <c r="C12" s="23">
        <f ca="1">C10*C8</f>
        <v>0</v>
      </c>
      <c r="D12" s="23">
        <f>D8*D10</f>
        <v>10616.668220111802</v>
      </c>
      <c r="E12" s="23">
        <f>E10*E8</f>
        <v>1701.6578076693092</v>
      </c>
      <c r="F12" s="23">
        <f>F10*F8</f>
        <v>2835.3731731509747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6180</v>
      </c>
      <c r="C28" s="36"/>
      <c r="D28" s="228"/>
    </row>
    <row r="29" spans="1:7" s="15" customFormat="1">
      <c r="A29" s="230" t="s">
        <v>795</v>
      </c>
      <c r="B29" s="37">
        <f>SUM(HH_hh_gas_aantal,HH_rest_gas_aantal)</f>
        <v>4131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4131</v>
      </c>
      <c r="C32" s="167">
        <f>IF(ISERROR(B32/SUM($B$32,$B$34,$B$35,$B$36,$B$38,$B$39)*100),0,B32/SUM($B$32,$B$34,$B$35,$B$36,$B$38,$B$39)*100)</f>
        <v>67.843652488093284</v>
      </c>
      <c r="D32" s="233"/>
      <c r="G32" s="15"/>
    </row>
    <row r="33" spans="1:7">
      <c r="A33" s="171" t="s">
        <v>72</v>
      </c>
      <c r="B33" s="34" t="s">
        <v>111</v>
      </c>
      <c r="C33" s="167"/>
      <c r="D33" s="233"/>
      <c r="G33" s="15"/>
    </row>
    <row r="34" spans="1:7">
      <c r="A34" s="171" t="s">
        <v>73</v>
      </c>
      <c r="B34" s="33">
        <f>IF((($B$28-$B$32-$B$39-$B$77-$B$38)*C20/100)&lt;0,0,($B$28-$B$32-$B$39-$B$77-$B$38)*C20/100)</f>
        <v>354.04222873900295</v>
      </c>
      <c r="C34" s="167">
        <f>IF(ISERROR(B34/SUM($B$32,$B$34,$B$35,$B$36,$B$38,$B$39)*100),0,B34/SUM($B$32,$B$34,$B$35,$B$36,$B$38,$B$39)*100)</f>
        <v>5.8144560476104941</v>
      </c>
      <c r="D34" s="233"/>
      <c r="G34" s="15"/>
    </row>
    <row r="35" spans="1:7">
      <c r="A35" s="171" t="s">
        <v>74</v>
      </c>
      <c r="B35" s="33">
        <f>IF((($B$28-$B$32-$B$39-$B$77-$B$38)*C21/100)&lt;0,0,($B$28-$B$32-$B$39-$B$77-$B$38)*C21/100)</f>
        <v>948.6516129032259</v>
      </c>
      <c r="C35" s="167">
        <f>IF(ISERROR(B35/SUM($B$32,$B$34,$B$35,$B$36,$B$38,$B$39)*100),0,B35/SUM($B$32,$B$34,$B$35,$B$36,$B$38,$B$39)*100)</f>
        <v>15.579760435264015</v>
      </c>
      <c r="D35" s="233"/>
      <c r="G35" s="15"/>
    </row>
    <row r="36" spans="1:7">
      <c r="A36" s="171" t="s">
        <v>75</v>
      </c>
      <c r="B36" s="33">
        <f>IF((($B$28-$B$32-$B$39-$B$77-$B$38)*C22/100)&lt;0,0,($B$28-$B$32-$B$39-$B$77-$B$38)*C22/100)</f>
        <v>245.10615835777131</v>
      </c>
      <c r="C36" s="167">
        <f>IF(ISERROR(B36/SUM($B$32,$B$34,$B$35,$B$36,$B$38,$B$39)*100),0,B36/SUM($B$32,$B$34,$B$35,$B$36,$B$38,$B$39)*100)</f>
        <v>4.0253926483457274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410.19999999999982</v>
      </c>
      <c r="C39" s="167">
        <f>IF(ISERROR(B39/SUM($B$32,$B$34,$B$35,$B$36,$B$38,$B$39)*100),0,B39/SUM($B$32,$B$34,$B$35,$B$36,$B$38,$B$39)*100)</f>
        <v>6.7367383806864813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4131</v>
      </c>
      <c r="C44" s="34" t="s">
        <v>111</v>
      </c>
      <c r="D44" s="174"/>
    </row>
    <row r="45" spans="1:7">
      <c r="A45" s="171" t="s">
        <v>72</v>
      </c>
      <c r="B45" s="33" t="str">
        <f t="shared" si="0"/>
        <v>-</v>
      </c>
      <c r="C45" s="34" t="s">
        <v>111</v>
      </c>
      <c r="D45" s="174"/>
    </row>
    <row r="46" spans="1:7">
      <c r="A46" s="171" t="s">
        <v>73</v>
      </c>
      <c r="B46" s="33">
        <f t="shared" si="0"/>
        <v>354.04222873900295</v>
      </c>
      <c r="C46" s="34" t="s">
        <v>111</v>
      </c>
      <c r="D46" s="174"/>
    </row>
    <row r="47" spans="1:7">
      <c r="A47" s="171" t="s">
        <v>74</v>
      </c>
      <c r="B47" s="33">
        <f t="shared" si="0"/>
        <v>948.6516129032259</v>
      </c>
      <c r="C47" s="34" t="s">
        <v>111</v>
      </c>
      <c r="D47" s="174"/>
    </row>
    <row r="48" spans="1:7">
      <c r="A48" s="171" t="s">
        <v>75</v>
      </c>
      <c r="B48" s="33">
        <f t="shared" si="0"/>
        <v>245.10615835777131</v>
      </c>
      <c r="C48" s="33">
        <f>B48*10</f>
        <v>2451.061583577713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410.19999999999982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29531.066749999998</v>
      </c>
      <c r="C5" s="17">
        <f>IF(ISERROR('Eigen informatie GS &amp; warmtenet'!B58),0,'Eigen informatie GS &amp; warmtenet'!B58)</f>
        <v>0</v>
      </c>
      <c r="D5" s="30">
        <f>SUM(D6:D12)</f>
        <v>29367.9945295</v>
      </c>
      <c r="E5" s="17">
        <f>SUM(E6:E12)</f>
        <v>315.42225125737087</v>
      </c>
      <c r="F5" s="17">
        <f>SUM(F6:F12)</f>
        <v>5079.8523486266477</v>
      </c>
      <c r="G5" s="18"/>
      <c r="H5" s="17"/>
      <c r="I5" s="17"/>
      <c r="J5" s="17">
        <f>SUM(J6:J12)</f>
        <v>6.6142485126775022E-2</v>
      </c>
      <c r="K5" s="17"/>
      <c r="L5" s="17"/>
      <c r="M5" s="17"/>
      <c r="N5" s="17">
        <f>SUM(N6:N12)</f>
        <v>2735.466705179314</v>
      </c>
      <c r="O5" s="17">
        <f>B38*B39*B40</f>
        <v>0</v>
      </c>
      <c r="P5" s="17">
        <f>B46*B47*B48/1000-B46*B47*B48/1000/B49</f>
        <v>38.133333333333333</v>
      </c>
      <c r="R5" s="32"/>
    </row>
    <row r="6" spans="1:18">
      <c r="A6" s="32" t="s">
        <v>54</v>
      </c>
      <c r="B6" s="37">
        <f>B26</f>
        <v>8295.5010499999989</v>
      </c>
      <c r="C6" s="33"/>
      <c r="D6" s="37">
        <f>IF(ISERROR(TER_kantoor_gas_kWh/1000),0,TER_kantoor_gas_kWh/1000)*0.902</f>
        <v>6627.9403783999996</v>
      </c>
      <c r="E6" s="33">
        <f>$C$26*'E Balans VL '!I12/100/3.6*1000000</f>
        <v>5.199344154097503E-2</v>
      </c>
      <c r="F6" s="33">
        <f>$C$26*('E Balans VL '!L12+'E Balans VL '!N12)/100/3.6*1000000</f>
        <v>1246.5820094081769</v>
      </c>
      <c r="G6" s="34"/>
      <c r="H6" s="33"/>
      <c r="I6" s="33"/>
      <c r="J6" s="33">
        <f>$C$26*('E Balans VL '!D12+'E Balans VL '!E12)/100/3.6*1000000</f>
        <v>0</v>
      </c>
      <c r="K6" s="33"/>
      <c r="L6" s="33"/>
      <c r="M6" s="33"/>
      <c r="N6" s="33">
        <f>$C$26*'E Balans VL '!Y12/100/3.6*1000000</f>
        <v>7.9334168113152668</v>
      </c>
      <c r="O6" s="33"/>
      <c r="P6" s="33"/>
      <c r="R6" s="32"/>
    </row>
    <row r="7" spans="1:18">
      <c r="A7" s="32" t="s">
        <v>53</v>
      </c>
      <c r="B7" s="37">
        <f t="shared" ref="B7:B12" si="0">B27</f>
        <v>1354.116</v>
      </c>
      <c r="C7" s="33"/>
      <c r="D7" s="37">
        <f>IF(ISERROR(TER_horeca_gas_kWh/1000),0,TER_horeca_gas_kWh/1000)*0.902</f>
        <v>1552.649582</v>
      </c>
      <c r="E7" s="33">
        <f>$C$27*'E Balans VL '!I9/100/3.6*1000000</f>
        <v>19.390715567331977</v>
      </c>
      <c r="F7" s="33">
        <f>$C$27*('E Balans VL '!L9+'E Balans VL '!N9)/100/3.6*1000000</f>
        <v>171.47574606626304</v>
      </c>
      <c r="G7" s="34"/>
      <c r="H7" s="33"/>
      <c r="I7" s="33"/>
      <c r="J7" s="33">
        <f>$C$27*('E Balans VL '!D9+'E Balans VL '!E9)/100/3.6*1000000</f>
        <v>0</v>
      </c>
      <c r="K7" s="33"/>
      <c r="L7" s="33"/>
      <c r="M7" s="33"/>
      <c r="N7" s="33">
        <f>$C$27*'E Balans VL '!Y9/100/3.6*1000000</f>
        <v>0.38927849430500283</v>
      </c>
      <c r="O7" s="33"/>
      <c r="P7" s="33"/>
      <c r="R7" s="32"/>
    </row>
    <row r="8" spans="1:18">
      <c r="A8" s="6" t="s">
        <v>52</v>
      </c>
      <c r="B8" s="37">
        <f t="shared" si="0"/>
        <v>7585.2005499999996</v>
      </c>
      <c r="C8" s="33"/>
      <c r="D8" s="37">
        <f>IF(ISERROR(TER_handel_gas_kWh/1000),0,TER_handel_gas_kWh/1000)*0.902</f>
        <v>5848.5761630999996</v>
      </c>
      <c r="E8" s="33">
        <f>$C$28*'E Balans VL '!I13/100/3.6*1000000</f>
        <v>275.11428858347392</v>
      </c>
      <c r="F8" s="33">
        <f>$C$28*('E Balans VL '!L13+'E Balans VL '!N13)/100/3.6*1000000</f>
        <v>1460.9864309686802</v>
      </c>
      <c r="G8" s="34"/>
      <c r="H8" s="33"/>
      <c r="I8" s="33"/>
      <c r="J8" s="33">
        <f>$C$28*('E Balans VL '!D13+'E Balans VL '!E13)/100/3.6*1000000</f>
        <v>0</v>
      </c>
      <c r="K8" s="33"/>
      <c r="L8" s="33"/>
      <c r="M8" s="33"/>
      <c r="N8" s="33">
        <f>$C$28*'E Balans VL '!Y13/100/3.6*1000000</f>
        <v>10.507248038559538</v>
      </c>
      <c r="O8" s="33"/>
      <c r="P8" s="33"/>
      <c r="R8" s="32"/>
    </row>
    <row r="9" spans="1:18">
      <c r="A9" s="32" t="s">
        <v>51</v>
      </c>
      <c r="B9" s="37">
        <f t="shared" si="0"/>
        <v>8140.6981500000002</v>
      </c>
      <c r="C9" s="33"/>
      <c r="D9" s="37">
        <f>IF(ISERROR(TER_gezond_gas_kWh/1000),0,TER_gezond_gas_kWh/1000)*0.902</f>
        <v>9165.682922</v>
      </c>
      <c r="E9" s="33">
        <f>$C$29*'E Balans VL '!I10/100/3.6*1000000</f>
        <v>0.50968807906367064</v>
      </c>
      <c r="F9" s="33">
        <f>$C$29*('E Balans VL '!L10+'E Balans VL '!N10)/100/3.6*1000000</f>
        <v>1209.3254962478666</v>
      </c>
      <c r="G9" s="34"/>
      <c r="H9" s="33"/>
      <c r="I9" s="33"/>
      <c r="J9" s="33">
        <f>$C$29*('E Balans VL '!D10+'E Balans VL '!E10)/100/3.6*1000000</f>
        <v>0</v>
      </c>
      <c r="K9" s="33"/>
      <c r="L9" s="33"/>
      <c r="M9" s="33"/>
      <c r="N9" s="33">
        <f>$C$29*'E Balans VL '!Y10/100/3.6*1000000</f>
        <v>125.92110449442592</v>
      </c>
      <c r="O9" s="33"/>
      <c r="P9" s="33"/>
      <c r="R9" s="32"/>
    </row>
    <row r="10" spans="1:18">
      <c r="A10" s="32" t="s">
        <v>50</v>
      </c>
      <c r="B10" s="37">
        <f t="shared" si="0"/>
        <v>3047.1869999999999</v>
      </c>
      <c r="C10" s="33"/>
      <c r="D10" s="37">
        <f>IF(ISERROR(TER_ander_gas_kWh/1000),0,TER_ander_gas_kWh/1000)*0.902</f>
        <v>2486.1293820000001</v>
      </c>
      <c r="E10" s="33">
        <f>$C$30*'E Balans VL '!I14/100/3.6*1000000</f>
        <v>3.6321380159354706</v>
      </c>
      <c r="F10" s="33">
        <f>$C$30*('E Balans VL '!L14+'E Balans VL '!N14)/100/3.6*1000000</f>
        <v>797.27958649399318</v>
      </c>
      <c r="G10" s="34"/>
      <c r="H10" s="33"/>
      <c r="I10" s="33"/>
      <c r="J10" s="33">
        <f>$C$30*('E Balans VL '!D14+'E Balans VL '!E14)/100/3.6*1000000</f>
        <v>6.6142485126775022E-2</v>
      </c>
      <c r="K10" s="33"/>
      <c r="L10" s="33"/>
      <c r="M10" s="33"/>
      <c r="N10" s="33">
        <f>$C$30*'E Balans VL '!Y14/100/3.6*1000000</f>
        <v>2587.5966367836681</v>
      </c>
      <c r="O10" s="33"/>
      <c r="P10" s="33"/>
      <c r="R10" s="32"/>
    </row>
    <row r="11" spans="1:18">
      <c r="A11" s="32" t="s">
        <v>55</v>
      </c>
      <c r="B11" s="37">
        <f t="shared" si="0"/>
        <v>1108.364</v>
      </c>
      <c r="C11" s="33"/>
      <c r="D11" s="37">
        <f>IF(ISERROR(TER_onderwijs_gas_kWh/1000),0,TER_onderwijs_gas_kWh/1000)*0.902</f>
        <v>3687.016102</v>
      </c>
      <c r="E11" s="33">
        <f>$C$31*'E Balans VL '!I11/100/3.6*1000000</f>
        <v>16.723427570024832</v>
      </c>
      <c r="F11" s="33">
        <f>$C$31*('E Balans VL '!L11+'E Balans VL '!N11)/100/3.6*1000000</f>
        <v>194.20307944166669</v>
      </c>
      <c r="G11" s="34"/>
      <c r="H11" s="33"/>
      <c r="I11" s="33"/>
      <c r="J11" s="33">
        <f>$C$31*('E Balans VL '!D11+'E Balans VL '!E11)/100/3.6*1000000</f>
        <v>0</v>
      </c>
      <c r="K11" s="33"/>
      <c r="L11" s="33"/>
      <c r="M11" s="33"/>
      <c r="N11" s="33">
        <f>$C$31*'E Balans VL '!Y11/100/3.6*1000000</f>
        <v>3.119020557040098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29531.066749999998</v>
      </c>
      <c r="C16" s="21">
        <f t="shared" ca="1" si="1"/>
        <v>0</v>
      </c>
      <c r="D16" s="21">
        <f t="shared" ca="1" si="1"/>
        <v>29367.9945295</v>
      </c>
      <c r="E16" s="21">
        <f t="shared" si="1"/>
        <v>315.42225125737087</v>
      </c>
      <c r="F16" s="21">
        <f t="shared" ca="1" si="1"/>
        <v>5079.8523486266477</v>
      </c>
      <c r="G16" s="21">
        <f t="shared" si="1"/>
        <v>0</v>
      </c>
      <c r="H16" s="21">
        <f t="shared" si="1"/>
        <v>0</v>
      </c>
      <c r="I16" s="21">
        <f t="shared" si="1"/>
        <v>0</v>
      </c>
      <c r="J16" s="21">
        <f t="shared" si="1"/>
        <v>6.6142485126775022E-2</v>
      </c>
      <c r="K16" s="21">
        <f t="shared" si="1"/>
        <v>0</v>
      </c>
      <c r="L16" s="21">
        <f t="shared" ca="1" si="1"/>
        <v>0</v>
      </c>
      <c r="M16" s="21">
        <f t="shared" si="1"/>
        <v>0</v>
      </c>
      <c r="N16" s="21">
        <f t="shared" ca="1" si="1"/>
        <v>2735.466705179314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0.1862246559302882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5499.4127447731234</v>
      </c>
      <c r="C20" s="23">
        <f t="shared" ref="C20:P20" ca="1" si="2">C16*C18</f>
        <v>0</v>
      </c>
      <c r="D20" s="23">
        <f t="shared" ca="1" si="2"/>
        <v>5932.3348949589999</v>
      </c>
      <c r="E20" s="23">
        <f t="shared" si="2"/>
        <v>71.60085103542319</v>
      </c>
      <c r="F20" s="23">
        <f t="shared" ca="1" si="2"/>
        <v>1356.3205770833149</v>
      </c>
      <c r="G20" s="23">
        <f t="shared" si="2"/>
        <v>0</v>
      </c>
      <c r="H20" s="23">
        <f t="shared" si="2"/>
        <v>0</v>
      </c>
      <c r="I20" s="23">
        <f t="shared" si="2"/>
        <v>0</v>
      </c>
      <c r="J20" s="23">
        <f t="shared" si="2"/>
        <v>2.3414439734878358E-2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8295.5010499999989</v>
      </c>
      <c r="C26" s="39">
        <f>IF(ISERROR(B26*3.6/1000000/'E Balans VL '!Z12*100),0,B26*3.6/1000000/'E Balans VL '!Z12*100)</f>
        <v>0.17535375106186069</v>
      </c>
      <c r="D26" s="237" t="s">
        <v>754</v>
      </c>
      <c r="F26" s="6"/>
    </row>
    <row r="27" spans="1:18">
      <c r="A27" s="231" t="s">
        <v>53</v>
      </c>
      <c r="B27" s="33">
        <f>IF(ISERROR(TER_horeca_ele_kWh/1000),0,TER_horeca_ele_kWh/1000)</f>
        <v>1354.116</v>
      </c>
      <c r="C27" s="39">
        <f>IF(ISERROR(B27*3.6/1000000/'E Balans VL '!Z9*100),0,B27*3.6/1000000/'E Balans VL '!Z9*100)</f>
        <v>0.10674445957520068</v>
      </c>
      <c r="D27" s="237" t="s">
        <v>754</v>
      </c>
      <c r="F27" s="6"/>
    </row>
    <row r="28" spans="1:18">
      <c r="A28" s="171" t="s">
        <v>52</v>
      </c>
      <c r="B28" s="33">
        <f>IF(ISERROR(TER_handel_ele_kWh/1000),0,TER_handel_ele_kWh/1000)</f>
        <v>7585.2005499999996</v>
      </c>
      <c r="C28" s="39">
        <f>IF(ISERROR(B28*3.6/1000000/'E Balans VL '!Z13*100),0,B28*3.6/1000000/'E Balans VL '!Z13*100)</f>
        <v>0.2201531676054776</v>
      </c>
      <c r="D28" s="237" t="s">
        <v>754</v>
      </c>
      <c r="F28" s="6"/>
    </row>
    <row r="29" spans="1:18">
      <c r="A29" s="231" t="s">
        <v>51</v>
      </c>
      <c r="B29" s="33">
        <f>IF(ISERROR(TER_gezond_ele_kWh/1000),0,TER_gezond_ele_kWh/1000)</f>
        <v>8140.6981500000002</v>
      </c>
      <c r="C29" s="39">
        <f>IF(ISERROR(B29*3.6/1000000/'E Balans VL '!Z10*100),0,B29*3.6/1000000/'E Balans VL '!Z10*100)</f>
        <v>0.85734918898709433</v>
      </c>
      <c r="D29" s="237" t="s">
        <v>754</v>
      </c>
      <c r="F29" s="6"/>
    </row>
    <row r="30" spans="1:18">
      <c r="A30" s="231" t="s">
        <v>50</v>
      </c>
      <c r="B30" s="33">
        <f>IF(ISERROR(TER_ander_ele_kWh/1000),0,TER_ander_ele_kWh/1000)</f>
        <v>3047.1869999999999</v>
      </c>
      <c r="C30" s="39">
        <f>IF(ISERROR(B30*3.6/1000000/'E Balans VL '!Z14*100),0,B30*3.6/1000000/'E Balans VL '!Z14*100)</f>
        <v>0.22476117496572418</v>
      </c>
      <c r="D30" s="237" t="s">
        <v>754</v>
      </c>
      <c r="F30" s="6"/>
    </row>
    <row r="31" spans="1:18">
      <c r="A31" s="231" t="s">
        <v>55</v>
      </c>
      <c r="B31" s="33">
        <f>IF(ISERROR(TER_onderwijs_ele_kWh/1000),0,TER_onderwijs_ele_kWh/1000)</f>
        <v>1108.364</v>
      </c>
      <c r="C31" s="39">
        <f>IF(ISERROR(B31*3.6/1000000/'E Balans VL '!Z11*100),0,B31*3.6/1000000/'E Balans VL '!Z11*100)</f>
        <v>0.27525870002736669</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65662.770600000003</v>
      </c>
      <c r="C5" s="17">
        <f>IF(ISERROR('Eigen informatie GS &amp; warmtenet'!B59),0,'Eigen informatie GS &amp; warmtenet'!B59)</f>
        <v>0</v>
      </c>
      <c r="D5" s="30">
        <f>SUM(D6:D15)</f>
        <v>52237.186216599999</v>
      </c>
      <c r="E5" s="17">
        <f>SUM(E6:E15)</f>
        <v>5721.8701541073106</v>
      </c>
      <c r="F5" s="17">
        <f>SUM(F6:F15)</f>
        <v>18532.622583979457</v>
      </c>
      <c r="G5" s="18"/>
      <c r="H5" s="17"/>
      <c r="I5" s="17"/>
      <c r="J5" s="17">
        <f>SUM(J6:J15)</f>
        <v>5.2691923873774895</v>
      </c>
      <c r="K5" s="17"/>
      <c r="L5" s="17"/>
      <c r="M5" s="17"/>
      <c r="N5" s="17">
        <f>SUM(N6:N15)</f>
        <v>24332.858594850819</v>
      </c>
      <c r="O5" s="17">
        <f>B43*B44*B45</f>
        <v>0</v>
      </c>
      <c r="P5" s="17">
        <f>B51*B52*B53/1000-B51*B52*B53/1000/B54</f>
        <v>0</v>
      </c>
      <c r="R5" s="32"/>
    </row>
    <row r="6" spans="1:18">
      <c r="A6" s="6" t="s">
        <v>35</v>
      </c>
      <c r="B6" s="37">
        <f>IF( ISERROR(IND_ijzer_ele_kWh/1000),0,IND_ijzer_ele_kWh/1000)</f>
        <v>4129.402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26530.871999999999</v>
      </c>
      <c r="C8" s="33"/>
      <c r="D8" s="37">
        <f>IF( ISERROR(IND_metaal_Gas_kWH/1000),0,IND_metaal_Gas_kWH/1000)*0.902</f>
        <v>36206.337727999999</v>
      </c>
      <c r="E8" s="33">
        <f>C30*'E Balans VL '!I18/100/3.6*1000000</f>
        <v>243.92574428013972</v>
      </c>
      <c r="F8" s="33">
        <f>C30*'E Balans VL '!L18/100/3.6*1000000+C30*'E Balans VL '!N18/100/3.6*1000000</f>
        <v>2487.7124914592277</v>
      </c>
      <c r="G8" s="34"/>
      <c r="H8" s="33"/>
      <c r="I8" s="33"/>
      <c r="J8" s="40">
        <f>C30*'E Balans VL '!D18/100/3.6*1000000+C30*'E Balans VL '!E18/100/3.6*1000000</f>
        <v>0</v>
      </c>
      <c r="K8" s="33"/>
      <c r="L8" s="33"/>
      <c r="M8" s="33"/>
      <c r="N8" s="33">
        <f>C30*'E Balans VL '!Y18/100/3.6*1000000</f>
        <v>378.50673319230157</v>
      </c>
      <c r="O8" s="33"/>
      <c r="P8" s="33"/>
      <c r="R8" s="32"/>
    </row>
    <row r="9" spans="1:18">
      <c r="A9" s="6" t="s">
        <v>33</v>
      </c>
      <c r="B9" s="37">
        <f t="shared" si="0"/>
        <v>18377.387699999999</v>
      </c>
      <c r="C9" s="33"/>
      <c r="D9" s="37">
        <f>IF( ISERROR(IND_andere_gas_kWh/1000),0,IND_andere_gas_kWh/1000)*0.902</f>
        <v>10101.632668600001</v>
      </c>
      <c r="E9" s="33">
        <f>C31*'E Balans VL '!I19/100/3.6*1000000</f>
        <v>5372.0681902503175</v>
      </c>
      <c r="F9" s="33">
        <f>C31*'E Balans VL '!L19/100/3.6*1000000+C31*'E Balans VL '!N19/100/3.6*1000000</f>
        <v>14767.622057381854</v>
      </c>
      <c r="G9" s="34"/>
      <c r="H9" s="33"/>
      <c r="I9" s="33"/>
      <c r="J9" s="40">
        <f>C31*'E Balans VL '!D19/100/3.6*1000000+C31*'E Balans VL '!E19/100/3.6*1000000</f>
        <v>0</v>
      </c>
      <c r="K9" s="33"/>
      <c r="L9" s="33"/>
      <c r="M9" s="33"/>
      <c r="N9" s="33">
        <f>C31*'E Balans VL '!Y19/100/3.6*1000000</f>
        <v>6072.173909155782</v>
      </c>
      <c r="O9" s="33"/>
      <c r="P9" s="33"/>
      <c r="R9" s="32"/>
    </row>
    <row r="10" spans="1:18">
      <c r="A10" s="6" t="s">
        <v>41</v>
      </c>
      <c r="B10" s="37">
        <f t="shared" si="0"/>
        <v>116.84099999999999</v>
      </c>
      <c r="C10" s="33"/>
      <c r="D10" s="37">
        <f>IF( ISERROR(IND_voed_gas_kWh/1000),0,IND_voed_gas_kWh/1000)*0.902</f>
        <v>218.57714999999999</v>
      </c>
      <c r="E10" s="33">
        <f>C32*'E Balans VL '!I20/100/3.6*1000000</f>
        <v>0.24717894714116187</v>
      </c>
      <c r="F10" s="33">
        <f>C32*'E Balans VL '!L20/100/3.6*1000000+C32*'E Balans VL '!N20/100/3.6*1000000</f>
        <v>7.4288701295816271</v>
      </c>
      <c r="G10" s="34"/>
      <c r="H10" s="33"/>
      <c r="I10" s="33"/>
      <c r="J10" s="40">
        <f>C32*'E Balans VL '!D20/100/3.6*1000000+C32*'E Balans VL '!E20/100/3.6*1000000</f>
        <v>0</v>
      </c>
      <c r="K10" s="33"/>
      <c r="L10" s="33"/>
      <c r="M10" s="33"/>
      <c r="N10" s="33">
        <f>C32*'E Balans VL '!Y20/100/3.6*1000000</f>
        <v>8.0631820151614431</v>
      </c>
      <c r="O10" s="33"/>
      <c r="P10" s="33"/>
      <c r="R10" s="32"/>
    </row>
    <row r="11" spans="1:18">
      <c r="A11" s="6" t="s">
        <v>40</v>
      </c>
      <c r="B11" s="37">
        <f t="shared" si="0"/>
        <v>1423.934</v>
      </c>
      <c r="C11" s="33"/>
      <c r="D11" s="37">
        <f>IF( ISERROR(IND_textiel_gas_kWh/1000),0,IND_textiel_gas_kWh/1000)*0.902</f>
        <v>3423.3046759999997</v>
      </c>
      <c r="E11" s="33">
        <f>C33*'E Balans VL '!I21/100/3.6*1000000</f>
        <v>4.2289612132882111</v>
      </c>
      <c r="F11" s="33">
        <f>C33*'E Balans VL '!L21/100/3.6*1000000+C33*'E Balans VL '!N21/100/3.6*1000000</f>
        <v>143.85642685008509</v>
      </c>
      <c r="G11" s="34"/>
      <c r="H11" s="33"/>
      <c r="I11" s="33"/>
      <c r="J11" s="40">
        <f>C33*'E Balans VL '!D21/100/3.6*1000000+C33*'E Balans VL '!E21/100/3.6*1000000</f>
        <v>0</v>
      </c>
      <c r="K11" s="33"/>
      <c r="L11" s="33"/>
      <c r="M11" s="33"/>
      <c r="N11" s="33">
        <f>C33*'E Balans VL '!Y21/100/3.6*1000000</f>
        <v>78.534504377824447</v>
      </c>
      <c r="O11" s="33"/>
      <c r="P11" s="33"/>
      <c r="R11" s="32"/>
    </row>
    <row r="12" spans="1:18">
      <c r="A12" s="6" t="s">
        <v>37</v>
      </c>
      <c r="B12" s="37">
        <f t="shared" si="0"/>
        <v>2653.8359999999998</v>
      </c>
      <c r="C12" s="33"/>
      <c r="D12" s="37">
        <f>IF( ISERROR(IND_min_gas_kWh/1000),0,IND_min_gas_kWh/1000)*0.902</f>
        <v>61.881710000000005</v>
      </c>
      <c r="E12" s="33">
        <f>C34*'E Balans VL '!I22/100/3.6*1000000</f>
        <v>76.923778034693157</v>
      </c>
      <c r="F12" s="33">
        <f>C34*'E Balans VL '!L22/100/3.6*1000000+C34*'E Balans VL '!N22/100/3.6*1000000</f>
        <v>912.41880581516807</v>
      </c>
      <c r="G12" s="34"/>
      <c r="H12" s="33"/>
      <c r="I12" s="33"/>
      <c r="J12" s="40">
        <f>C34*'E Balans VL '!D22/100/3.6*1000000+C34*'E Balans VL '!E22/100/3.6*1000000</f>
        <v>4.3610522695497025</v>
      </c>
      <c r="K12" s="33"/>
      <c r="L12" s="33"/>
      <c r="M12" s="33"/>
      <c r="N12" s="33">
        <f>C34*'E Balans VL '!Y22/100/3.6*1000000</f>
        <v>580.96831166000948</v>
      </c>
      <c r="O12" s="33"/>
      <c r="P12" s="33"/>
      <c r="R12" s="32"/>
    </row>
    <row r="13" spans="1:18">
      <c r="A13" s="6" t="s">
        <v>39</v>
      </c>
      <c r="B13" s="37">
        <f t="shared" si="0"/>
        <v>5871.8719000000001</v>
      </c>
      <c r="C13" s="33"/>
      <c r="D13" s="37">
        <f>IF( ISERROR(IND_papier_gas_kWh/1000),0,IND_papier_gas_kWh/1000)*0.902</f>
        <v>2225.4522840000004</v>
      </c>
      <c r="E13" s="33">
        <f>C35*'E Balans VL '!I23/100/3.6*1000000</f>
        <v>8.3308433394212713</v>
      </c>
      <c r="F13" s="33">
        <f>C35*'E Balans VL '!L23/100/3.6*1000000+C35*'E Balans VL '!N23/100/3.6*1000000</f>
        <v>143.35447274091715</v>
      </c>
      <c r="G13" s="34"/>
      <c r="H13" s="33"/>
      <c r="I13" s="33"/>
      <c r="J13" s="40">
        <f>C35*'E Balans VL '!D23/100/3.6*1000000+C35*'E Balans VL '!E23/100/3.6*1000000</f>
        <v>0.90814011782778714</v>
      </c>
      <c r="K13" s="33"/>
      <c r="L13" s="33"/>
      <c r="M13" s="33"/>
      <c r="N13" s="33">
        <f>C35*'E Balans VL '!Y23/100/3.6*1000000</f>
        <v>17068.141645749183</v>
      </c>
      <c r="O13" s="33"/>
      <c r="P13" s="33"/>
      <c r="R13" s="32"/>
    </row>
    <row r="14" spans="1:18">
      <c r="A14" s="6" t="s">
        <v>34</v>
      </c>
      <c r="B14" s="37">
        <f t="shared" si="0"/>
        <v>6558.6260000000002</v>
      </c>
      <c r="C14" s="33"/>
      <c r="D14" s="37">
        <f>IF( ISERROR(IND_chemie_gas_kWh/1000),0,IND_chemie_gas_kWh/1000)*0.902</f>
        <v>0</v>
      </c>
      <c r="E14" s="33">
        <f>C36*'E Balans VL '!I24/100/3.6*1000000</f>
        <v>16.145458042309784</v>
      </c>
      <c r="F14" s="33">
        <f>C36*'E Balans VL '!L24/100/3.6*1000000+C36*'E Balans VL '!N24/100/3.6*1000000</f>
        <v>70.229459602626676</v>
      </c>
      <c r="G14" s="34"/>
      <c r="H14" s="33"/>
      <c r="I14" s="33"/>
      <c r="J14" s="40">
        <f>C36*'E Balans VL '!D24/100/3.6*1000000+C36*'E Balans VL '!E24/100/3.6*1000000</f>
        <v>0</v>
      </c>
      <c r="K14" s="33"/>
      <c r="L14" s="33"/>
      <c r="M14" s="33"/>
      <c r="N14" s="33">
        <f>C36*'E Balans VL '!Y24/100/3.6*1000000</f>
        <v>146.4703087005542</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65662.770600000003</v>
      </c>
      <c r="C18" s="21">
        <f>C5+C16</f>
        <v>0</v>
      </c>
      <c r="D18" s="21">
        <f>MAX((D5+D16),0)</f>
        <v>52237.186216599999</v>
      </c>
      <c r="E18" s="21">
        <f>MAX((E5+E16),0)</f>
        <v>5721.8701541073106</v>
      </c>
      <c r="F18" s="21">
        <f>MAX((F5+F16),0)</f>
        <v>18532.622583979457</v>
      </c>
      <c r="G18" s="21"/>
      <c r="H18" s="21"/>
      <c r="I18" s="21"/>
      <c r="J18" s="21">
        <f>MAX((J5+J16),0)</f>
        <v>5.2691923873774895</v>
      </c>
      <c r="K18" s="21"/>
      <c r="L18" s="21">
        <f>MAX((L5+L16),0)</f>
        <v>0</v>
      </c>
      <c r="M18" s="21"/>
      <c r="N18" s="21">
        <f>MAX((N5+N16),0)</f>
        <v>24332.858594850819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0.1862246559302882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12228.026862414445</v>
      </c>
      <c r="C22" s="23">
        <f ca="1">C18*C20</f>
        <v>0</v>
      </c>
      <c r="D22" s="23">
        <f>D18*D20</f>
        <v>10551.911615753201</v>
      </c>
      <c r="E22" s="23">
        <f>E18*E20</f>
        <v>1298.8645249823596</v>
      </c>
      <c r="F22" s="23">
        <f>F18*F20</f>
        <v>4948.2102299225153</v>
      </c>
      <c r="G22" s="23"/>
      <c r="H22" s="23"/>
      <c r="I22" s="23"/>
      <c r="J22" s="23">
        <f>J18*J20</f>
        <v>1.8652941051316312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26530.871999999999</v>
      </c>
      <c r="C30" s="39">
        <f>IF(ISERROR(B30*3.6/1000000/'E Balans VL '!Z18*100),0,B30*3.6/1000000/'E Balans VL '!Z18*100)</f>
        <v>1.5035725458452736</v>
      </c>
      <c r="D30" s="237" t="s">
        <v>754</v>
      </c>
    </row>
    <row r="31" spans="1:18">
      <c r="A31" s="6" t="s">
        <v>33</v>
      </c>
      <c r="B31" s="37">
        <f>IF( ISERROR(IND_ander_ele_kWh/1000),0,IND_ander_ele_kWh/1000)</f>
        <v>18377.387699999999</v>
      </c>
      <c r="C31" s="39">
        <f>IF(ISERROR(B31*3.6/1000000/'E Balans VL '!Z19*100),0,B31*3.6/1000000/'E Balans VL '!Z19*100)</f>
        <v>0.83352178396146093</v>
      </c>
      <c r="D31" s="237" t="s">
        <v>754</v>
      </c>
    </row>
    <row r="32" spans="1:18">
      <c r="A32" s="171" t="s">
        <v>41</v>
      </c>
      <c r="B32" s="37">
        <f>IF( ISERROR(IND_voed_ele_kWh/1000),0,IND_voed_ele_kWh/1000)</f>
        <v>116.84099999999999</v>
      </c>
      <c r="C32" s="39">
        <f>IF(ISERROR(B32*3.6/1000000/'E Balans VL '!Z20*100),0,B32*3.6/1000000/'E Balans VL '!Z20*100)</f>
        <v>3.6144225433542864E-3</v>
      </c>
      <c r="D32" s="237" t="s">
        <v>754</v>
      </c>
    </row>
    <row r="33" spans="1:5">
      <c r="A33" s="171" t="s">
        <v>40</v>
      </c>
      <c r="B33" s="37">
        <f>IF( ISERROR(IND_textiel_ele_kWh/1000),0,IND_textiel_ele_kWh/1000)</f>
        <v>1423.934</v>
      </c>
      <c r="C33" s="39">
        <f>IF(ISERROR(B33*3.6/1000000/'E Balans VL '!Z21*100),0,B33*3.6/1000000/'E Balans VL '!Z21*100)</f>
        <v>0.18566516576763462</v>
      </c>
      <c r="D33" s="237" t="s">
        <v>754</v>
      </c>
    </row>
    <row r="34" spans="1:5">
      <c r="A34" s="171" t="s">
        <v>37</v>
      </c>
      <c r="B34" s="37">
        <f>IF( ISERROR(IND_min_ele_kWh/1000),0,IND_min_ele_kWh/1000)</f>
        <v>2653.8359999999998</v>
      </c>
      <c r="C34" s="39">
        <f>IF(ISERROR(B34*3.6/1000000/'E Balans VL '!Z22*100),0,B34*3.6/1000000/'E Balans VL '!Z22*100)</f>
        <v>0.47734229767038594</v>
      </c>
      <c r="D34" s="237" t="s">
        <v>754</v>
      </c>
    </row>
    <row r="35" spans="1:5">
      <c r="A35" s="171" t="s">
        <v>39</v>
      </c>
      <c r="B35" s="37">
        <f>IF( ISERROR(IND_papier_ele_kWh/1000),0,IND_papier_ele_kWh/1000)</f>
        <v>5871.8719000000001</v>
      </c>
      <c r="C35" s="39">
        <f>IF(ISERROR(B35*3.6/1000000/'E Balans VL '!Z22*100),0,B35*3.6/1000000/'E Balans VL '!Z22*100)</f>
        <v>1.0561665545166223</v>
      </c>
      <c r="D35" s="237" t="s">
        <v>754</v>
      </c>
    </row>
    <row r="36" spans="1:5">
      <c r="A36" s="171" t="s">
        <v>34</v>
      </c>
      <c r="B36" s="37">
        <f>IF( ISERROR(IND_chemie_ele_kWh/1000),0,IND_chemie_ele_kWh/1000)</f>
        <v>6558.6260000000002</v>
      </c>
      <c r="C36" s="39">
        <f>IF(ISERROR(B36*3.6/1000000/'E Balans VL '!Z24*100),0,B36*3.6/1000000/'E Balans VL '!Z24*100)</f>
        <v>0.1999989043429099</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391.56</v>
      </c>
      <c r="C5" s="17">
        <f>'Eigen informatie GS &amp; warmtenet'!B60</f>
        <v>0</v>
      </c>
      <c r="D5" s="30">
        <f>IF(ISERROR(SUM(LB_lb_gas_kWh,LB_rest_gas_kWh,onbekend_gas_kWh)/1000),0,SUM(LB_lb_gas_kWh,LB_rest_gas_kWh,onbekend_gas_kWh)/1000)*0.902</f>
        <v>605.98615000000007</v>
      </c>
      <c r="E5" s="17">
        <f>B17*'E Balans VL '!I25/3.6*1000000/100</f>
        <v>11.509144362279761</v>
      </c>
      <c r="F5" s="17">
        <f>B17*('E Balans VL '!L25/3.6*1000000+'E Balans VL '!N25/3.6*1000000)/100</f>
        <v>1631.2178012081756</v>
      </c>
      <c r="G5" s="18"/>
      <c r="H5" s="17"/>
      <c r="I5" s="17"/>
      <c r="J5" s="17">
        <f>('E Balans VL '!D25+'E Balans VL '!E25)/3.6*1000000*landbouw!B17/100</f>
        <v>56.728635152744872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391.56</v>
      </c>
      <c r="C8" s="21">
        <f>C5+C6</f>
        <v>62.357142857142847</v>
      </c>
      <c r="D8" s="21">
        <f>MAX((D5+D6),0)</f>
        <v>605.98615000000007</v>
      </c>
      <c r="E8" s="21">
        <f>MAX((E5+E6),0)</f>
        <v>11.509144362279761</v>
      </c>
      <c r="F8" s="21">
        <f>MAX((F5+F6),0)</f>
        <v>1631.2178012081756</v>
      </c>
      <c r="G8" s="21"/>
      <c r="H8" s="21"/>
      <c r="I8" s="21"/>
      <c r="J8" s="21">
        <f>MAX((J5+J6),0)</f>
        <v>56.728635152744872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0.1862246559302882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72.918126276063646</v>
      </c>
      <c r="C12" s="23">
        <f ca="1">C8*C10</f>
        <v>0</v>
      </c>
      <c r="D12" s="23">
        <f>D8*D10</f>
        <v>122.40920230000002</v>
      </c>
      <c r="E12" s="23">
        <f>E8*E10</f>
        <v>2.6125757702375059</v>
      </c>
      <c r="F12" s="23">
        <f>F8*F10</f>
        <v>435.53515292258294</v>
      </c>
      <c r="G12" s="23"/>
      <c r="H12" s="23"/>
      <c r="I12" s="23"/>
      <c r="J12" s="23">
        <f>J8*J10</f>
        <v>20.081936844071684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5.5563592482035122E-2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234.20545563726967</v>
      </c>
      <c r="C26" s="247">
        <f>B26*'GWP N2O_CH4'!B5</f>
        <v>4918.3145683826633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55.242804545240276</v>
      </c>
      <c r="C27" s="247">
        <f>B27*'GWP N2O_CH4'!B5</f>
        <v>1160.0988954500458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3.7821268853378878</v>
      </c>
      <c r="C28" s="247">
        <f>B28*'GWP N2O_CH4'!B4</f>
        <v>1172.4593344547452</v>
      </c>
      <c r="D28" s="50"/>
    </row>
    <row r="29" spans="1:4">
      <c r="A29" s="41" t="s">
        <v>277</v>
      </c>
      <c r="B29" s="247">
        <f>B34*'ha_N2O bodem landbouw'!B4</f>
        <v>7.4758653895986695</v>
      </c>
      <c r="C29" s="247">
        <f>B29*'GWP N2O_CH4'!B4</f>
        <v>2317.5182707755876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1.7059667189281641E-3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1.5364727819355226E-4</v>
      </c>
      <c r="C5" s="463" t="s">
        <v>211</v>
      </c>
      <c r="D5" s="448">
        <f>SUM(D6:D11)</f>
        <v>5.3411472072222813E-4</v>
      </c>
      <c r="E5" s="448">
        <f>SUM(E6:E11)</f>
        <v>7.127775540846145E-4</v>
      </c>
      <c r="F5" s="461" t="s">
        <v>211</v>
      </c>
      <c r="G5" s="448">
        <f>SUM(G6:G11)</f>
        <v>0.27447573887310245</v>
      </c>
      <c r="H5" s="448">
        <f>SUM(H6:H11)</f>
        <v>6.0229922494842193E-2</v>
      </c>
      <c r="I5" s="463" t="s">
        <v>211</v>
      </c>
      <c r="J5" s="463" t="s">
        <v>211</v>
      </c>
      <c r="K5" s="463" t="s">
        <v>211</v>
      </c>
      <c r="L5" s="463" t="s">
        <v>211</v>
      </c>
      <c r="M5" s="448">
        <f>SUM(M6:M11)</f>
        <v>1.7824002700407435E-2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1.2225308998318281E-4</v>
      </c>
      <c r="C6" s="449"/>
      <c r="D6" s="962">
        <f>vkm_2011_GW_PW*SUMIFS(TableVerdeelsleutelVkm[CNG],TableVerdeelsleutelVkm[Voertuigtype],"Lichte voertuigen")*SUMIFS(TableECFTransport[EnergieConsumptieFactor (PJ per km)],TableECFTransport[Index],CONCATENATE($A6,"_CNG_CNG"))</f>
        <v>3.6668910305834768E-4</v>
      </c>
      <c r="E6" s="962">
        <f>vkm_2011_GW_PW*SUMIFS(TableVerdeelsleutelVkm[LPG],TableVerdeelsleutelVkm[Voertuigtype],"Lichte voertuigen")*SUMIFS(TableECFTransport[EnergieConsumptieFactor (PJ per km)],TableECFTransport[Index],CONCATENATE($A6,"_LPG_LPG"))</f>
        <v>5.0094998707154786E-4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0.12952270275237418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4.1699371392547903E-2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8.8049340879736478E-3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8.2694766965829489E-2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2.5199276321529657E-5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4.8324075934590427E-3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3.1394188210369454E-5</v>
      </c>
      <c r="C8" s="449"/>
      <c r="D8" s="451">
        <f>vkm_2011_NGW_PW*SUMIFS(TableVerdeelsleutelVkm[CNG],TableVerdeelsleutelVkm[Voertuigtype],"Lichte voertuigen")*SUMIFS(TableECFTransport[EnergieConsumptieFactor (PJ per km)],TableECFTransport[Index],CONCATENATE($A8,"_CNG_CNG"))</f>
        <v>1.6742561766388048E-4</v>
      </c>
      <c r="E8" s="451">
        <f>vkm_2011_NGW_PW*SUMIFS(TableVerdeelsleutelVkm[LPG],TableVerdeelsleutelVkm[Voertuigtype],"Lichte voertuigen")*SUMIFS(TableECFTransport[EnergieConsumptieFactor (PJ per km)],TableECFTransport[Index],CONCATENATE($A8,"_LPG_LPG"))</f>
        <v>2.118275670130667E-4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5.1038818383980895E-2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1.8502133262411007E-2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3.5310395130247994E-3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1.1219450770917903E-2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3.2185635617515048E-6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6.5562150594994557E-4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42.679799498208958</v>
      </c>
      <c r="C14" s="21"/>
      <c r="D14" s="21">
        <f t="shared" ref="D14:M14" si="0">((D5)*10^9/3600)+D12</f>
        <v>148.36520020061894</v>
      </c>
      <c r="E14" s="21">
        <f t="shared" si="0"/>
        <v>197.99376502350404</v>
      </c>
      <c r="F14" s="21"/>
      <c r="G14" s="21">
        <f t="shared" si="0"/>
        <v>76243.260798084011</v>
      </c>
      <c r="H14" s="21">
        <f t="shared" si="0"/>
        <v>16730.534026345053</v>
      </c>
      <c r="I14" s="21"/>
      <c r="J14" s="21"/>
      <c r="K14" s="21"/>
      <c r="L14" s="21"/>
      <c r="M14" s="21">
        <f t="shared" si="0"/>
        <v>4951.1118612242872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0.1862246559302882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7.94803097672765</v>
      </c>
      <c r="C18" s="23"/>
      <c r="D18" s="23">
        <f t="shared" ref="D18:M18" si="1">D14*D16</f>
        <v>29.969770440525028</v>
      </c>
      <c r="E18" s="23">
        <f t="shared" si="1"/>
        <v>44.944584660335416</v>
      </c>
      <c r="F18" s="23"/>
      <c r="G18" s="23">
        <f t="shared" si="1"/>
        <v>20356.950633088432</v>
      </c>
      <c r="H18" s="23">
        <f t="shared" si="1"/>
        <v>4165.9029725599185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7.1243414289806897E-3</v>
      </c>
      <c r="H50" s="321">
        <f t="shared" si="2"/>
        <v>0</v>
      </c>
      <c r="I50" s="321">
        <f t="shared" si="2"/>
        <v>0</v>
      </c>
      <c r="J50" s="321">
        <f t="shared" si="2"/>
        <v>0</v>
      </c>
      <c r="K50" s="321">
        <f t="shared" si="2"/>
        <v>0</v>
      </c>
      <c r="L50" s="321">
        <f t="shared" si="2"/>
        <v>0</v>
      </c>
      <c r="M50" s="321">
        <f t="shared" si="2"/>
        <v>4.046311422166752E-4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7.1243414289806897E-3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4.046311422166752E-4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1978.9837302724138</v>
      </c>
      <c r="H54" s="21">
        <f t="shared" si="3"/>
        <v>0</v>
      </c>
      <c r="I54" s="21">
        <f t="shared" si="3"/>
        <v>0</v>
      </c>
      <c r="J54" s="21">
        <f t="shared" si="3"/>
        <v>0</v>
      </c>
      <c r="K54" s="21">
        <f t="shared" si="3"/>
        <v>0</v>
      </c>
      <c r="L54" s="21">
        <f t="shared" si="3"/>
        <v>0</v>
      </c>
      <c r="M54" s="21">
        <f t="shared" si="3"/>
        <v>112.39753950463201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0.1862246559302882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528.38865598273458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19222.322809786889</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19265.97280978689</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72029</v>
      </c>
      <c r="C27" s="851">
        <v>3900</v>
      </c>
      <c r="D27" s="672" t="s">
        <v>809</v>
      </c>
      <c r="E27" s="671" t="s">
        <v>810</v>
      </c>
      <c r="F27" s="671" t="s">
        <v>811</v>
      </c>
      <c r="G27" s="671" t="s">
        <v>812</v>
      </c>
      <c r="H27" s="671" t="s">
        <v>813</v>
      </c>
      <c r="I27" s="671" t="s">
        <v>810</v>
      </c>
      <c r="J27" s="850">
        <v>41094</v>
      </c>
      <c r="K27" s="850">
        <v>41244</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30543.495749999998</v>
      </c>
      <c r="D10" s="718">
        <f ca="1">tertiair!C16</f>
        <v>0</v>
      </c>
      <c r="E10" s="718">
        <f ca="1">tertiair!D16</f>
        <v>29367.9945295</v>
      </c>
      <c r="F10" s="718">
        <f>tertiair!E16</f>
        <v>315.42225125737087</v>
      </c>
      <c r="G10" s="718">
        <f ca="1">tertiair!F16</f>
        <v>5079.8523486266477</v>
      </c>
      <c r="H10" s="718">
        <f>tertiair!G16</f>
        <v>0</v>
      </c>
      <c r="I10" s="718">
        <f>tertiair!H16</f>
        <v>0</v>
      </c>
      <c r="J10" s="718">
        <f>tertiair!I16</f>
        <v>0</v>
      </c>
      <c r="K10" s="718">
        <f>tertiair!J16</f>
        <v>6.6142485126775022E-2</v>
      </c>
      <c r="L10" s="718">
        <f>tertiair!K16</f>
        <v>0</v>
      </c>
      <c r="M10" s="718">
        <f ca="1">tertiair!L16</f>
        <v>0</v>
      </c>
      <c r="N10" s="718">
        <f>tertiair!M16</f>
        <v>0</v>
      </c>
      <c r="O10" s="718">
        <f ca="1">tertiair!N16</f>
        <v>2735.466705179314</v>
      </c>
      <c r="P10" s="718">
        <f>tertiair!O16</f>
        <v>0</v>
      </c>
      <c r="Q10" s="719">
        <f>tertiair!P16</f>
        <v>38.133333333333333</v>
      </c>
      <c r="R10" s="721">
        <f ca="1">SUM(C10:Q10)</f>
        <v>68080.431060381787</v>
      </c>
      <c r="S10" s="67"/>
    </row>
    <row r="11" spans="1:19" s="474" customFormat="1">
      <c r="A11" s="870" t="s">
        <v>225</v>
      </c>
      <c r="B11" s="875"/>
      <c r="C11" s="718">
        <f>huishoudens!B8</f>
        <v>25796.240484197719</v>
      </c>
      <c r="D11" s="718">
        <f>huishoudens!C8</f>
        <v>0</v>
      </c>
      <c r="E11" s="718">
        <f>huishoudens!D8</f>
        <v>52557.763465900003</v>
      </c>
      <c r="F11" s="718">
        <f>huishoudens!E8</f>
        <v>7496.289901626913</v>
      </c>
      <c r="G11" s="718">
        <f>huishoudens!F8</f>
        <v>10619.375180340729</v>
      </c>
      <c r="H11" s="718">
        <f>huishoudens!G8</f>
        <v>0</v>
      </c>
      <c r="I11" s="718">
        <f>huishoudens!H8</f>
        <v>0</v>
      </c>
      <c r="J11" s="718">
        <f>huishoudens!I8</f>
        <v>0</v>
      </c>
      <c r="K11" s="718">
        <f>huishoudens!J8</f>
        <v>0</v>
      </c>
      <c r="L11" s="718">
        <f>huishoudens!K8</f>
        <v>0</v>
      </c>
      <c r="M11" s="718">
        <f>huishoudens!L8</f>
        <v>0</v>
      </c>
      <c r="N11" s="718">
        <f>huishoudens!M8</f>
        <v>0</v>
      </c>
      <c r="O11" s="718">
        <f>huishoudens!N8</f>
        <v>17686.349332974507</v>
      </c>
      <c r="P11" s="718">
        <f>huishoudens!O8</f>
        <v>370.51000000000005</v>
      </c>
      <c r="Q11" s="719">
        <f>huishoudens!P8</f>
        <v>1735.0666666666666</v>
      </c>
      <c r="R11" s="721">
        <f>SUM(C11:Q11)</f>
        <v>116261.59503170651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65662.770600000003</v>
      </c>
      <c r="D13" s="718">
        <f>industrie!C18</f>
        <v>0</v>
      </c>
      <c r="E13" s="718">
        <f>industrie!D18</f>
        <v>52237.186216599999</v>
      </c>
      <c r="F13" s="718">
        <f>industrie!E18</f>
        <v>5721.8701541073106</v>
      </c>
      <c r="G13" s="718">
        <f>industrie!F18</f>
        <v>18532.622583979457</v>
      </c>
      <c r="H13" s="718">
        <f>industrie!G18</f>
        <v>0</v>
      </c>
      <c r="I13" s="718">
        <f>industrie!H18</f>
        <v>0</v>
      </c>
      <c r="J13" s="718">
        <f>industrie!I18</f>
        <v>0</v>
      </c>
      <c r="K13" s="718">
        <f>industrie!J18</f>
        <v>5.2691923873774895</v>
      </c>
      <c r="L13" s="718">
        <f>industrie!K18</f>
        <v>0</v>
      </c>
      <c r="M13" s="718">
        <f>industrie!L18</f>
        <v>0</v>
      </c>
      <c r="N13" s="718">
        <f>industrie!M18</f>
        <v>0</v>
      </c>
      <c r="O13" s="718">
        <f>industrie!N18</f>
        <v>24332.858594850819</v>
      </c>
      <c r="P13" s="718">
        <f>industrie!O18</f>
        <v>0</v>
      </c>
      <c r="Q13" s="719">
        <f>industrie!P18</f>
        <v>0</v>
      </c>
      <c r="R13" s="721">
        <f>SUM(C13:Q13)</f>
        <v>166492.57734192495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122002.50683419772</v>
      </c>
      <c r="D15" s="723">
        <f t="shared" ref="D15:Q15" ca="1" si="0">SUM(D9:D14)</f>
        <v>0</v>
      </c>
      <c r="E15" s="723">
        <f t="shared" ca="1" si="0"/>
        <v>134162.944212</v>
      </c>
      <c r="F15" s="723">
        <f t="shared" si="0"/>
        <v>13533.582306991593</v>
      </c>
      <c r="G15" s="723">
        <f t="shared" ca="1" si="0"/>
        <v>34231.850112946835</v>
      </c>
      <c r="H15" s="723">
        <f t="shared" si="0"/>
        <v>0</v>
      </c>
      <c r="I15" s="723">
        <f t="shared" si="0"/>
        <v>0</v>
      </c>
      <c r="J15" s="723">
        <f t="shared" si="0"/>
        <v>0</v>
      </c>
      <c r="K15" s="723">
        <f t="shared" si="0"/>
        <v>5.3353348725042649</v>
      </c>
      <c r="L15" s="723">
        <f t="shared" si="0"/>
        <v>0</v>
      </c>
      <c r="M15" s="723">
        <f t="shared" ca="1" si="0"/>
        <v>0</v>
      </c>
      <c r="N15" s="723">
        <f t="shared" si="0"/>
        <v>0</v>
      </c>
      <c r="O15" s="723">
        <f t="shared" ca="1" si="0"/>
        <v>44754.674633004644</v>
      </c>
      <c r="P15" s="723">
        <f t="shared" si="0"/>
        <v>370.51000000000005</v>
      </c>
      <c r="Q15" s="724">
        <f t="shared" si="0"/>
        <v>1773.2</v>
      </c>
      <c r="R15" s="725">
        <f ca="1">SUM(R9:R14)</f>
        <v>350834.60343401326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1978.9837302724138</v>
      </c>
      <c r="I18" s="718">
        <f>transport!H54</f>
        <v>0</v>
      </c>
      <c r="J18" s="718">
        <f>transport!I54</f>
        <v>0</v>
      </c>
      <c r="K18" s="718">
        <f>transport!J54</f>
        <v>0</v>
      </c>
      <c r="L18" s="718">
        <f>transport!K54</f>
        <v>0</v>
      </c>
      <c r="M18" s="718">
        <f>transport!L54</f>
        <v>0</v>
      </c>
      <c r="N18" s="718">
        <f>transport!M54</f>
        <v>112.39753950463201</v>
      </c>
      <c r="O18" s="718">
        <f>transport!N54</f>
        <v>0</v>
      </c>
      <c r="P18" s="718">
        <f>transport!O54</f>
        <v>0</v>
      </c>
      <c r="Q18" s="719">
        <f>transport!P54</f>
        <v>0</v>
      </c>
      <c r="R18" s="721">
        <f>SUM(C18:Q18)</f>
        <v>2091.3812697770459</v>
      </c>
      <c r="S18" s="67"/>
    </row>
    <row r="19" spans="1:19" s="474" customFormat="1" ht="15" thickBot="1">
      <c r="A19" s="870" t="s">
        <v>307</v>
      </c>
      <c r="B19" s="875"/>
      <c r="C19" s="727">
        <f>transport!B14</f>
        <v>42.679799498208958</v>
      </c>
      <c r="D19" s="727">
        <f>transport!C14</f>
        <v>0</v>
      </c>
      <c r="E19" s="727">
        <f>transport!D14</f>
        <v>148.36520020061894</v>
      </c>
      <c r="F19" s="727">
        <f>transport!E14</f>
        <v>197.99376502350404</v>
      </c>
      <c r="G19" s="727">
        <f>transport!F14</f>
        <v>0</v>
      </c>
      <c r="H19" s="727">
        <f>transport!G14</f>
        <v>76243.260798084011</v>
      </c>
      <c r="I19" s="727">
        <f>transport!H14</f>
        <v>16730.534026345053</v>
      </c>
      <c r="J19" s="727">
        <f>transport!I14</f>
        <v>0</v>
      </c>
      <c r="K19" s="727">
        <f>transport!J14</f>
        <v>0</v>
      </c>
      <c r="L19" s="727">
        <f>transport!K14</f>
        <v>0</v>
      </c>
      <c r="M19" s="727">
        <f>transport!L14</f>
        <v>0</v>
      </c>
      <c r="N19" s="727">
        <f>transport!M14</f>
        <v>4951.1118612242872</v>
      </c>
      <c r="O19" s="727">
        <f>transport!N14</f>
        <v>0</v>
      </c>
      <c r="P19" s="727">
        <f>transport!O14</f>
        <v>0</v>
      </c>
      <c r="Q19" s="728">
        <f>transport!P14</f>
        <v>0</v>
      </c>
      <c r="R19" s="729">
        <f>SUM(C19:Q19)</f>
        <v>98313.945450375671</v>
      </c>
      <c r="S19" s="67"/>
    </row>
    <row r="20" spans="1:19" s="474" customFormat="1" ht="15.75" thickBot="1">
      <c r="A20" s="730" t="s">
        <v>230</v>
      </c>
      <c r="B20" s="878"/>
      <c r="C20" s="873">
        <f>SUM(C17:C19)</f>
        <v>42.679799498208958</v>
      </c>
      <c r="D20" s="731">
        <f t="shared" ref="D20:R20" si="1">SUM(D17:D19)</f>
        <v>0</v>
      </c>
      <c r="E20" s="731">
        <f t="shared" si="1"/>
        <v>148.36520020061894</v>
      </c>
      <c r="F20" s="731">
        <f t="shared" si="1"/>
        <v>197.99376502350404</v>
      </c>
      <c r="G20" s="731">
        <f t="shared" si="1"/>
        <v>0</v>
      </c>
      <c r="H20" s="731">
        <f t="shared" si="1"/>
        <v>78222.24452835643</v>
      </c>
      <c r="I20" s="731">
        <f t="shared" si="1"/>
        <v>16730.534026345053</v>
      </c>
      <c r="J20" s="731">
        <f t="shared" si="1"/>
        <v>0</v>
      </c>
      <c r="K20" s="731">
        <f t="shared" si="1"/>
        <v>0</v>
      </c>
      <c r="L20" s="731">
        <f t="shared" si="1"/>
        <v>0</v>
      </c>
      <c r="M20" s="731">
        <f t="shared" si="1"/>
        <v>0</v>
      </c>
      <c r="N20" s="731">
        <f t="shared" si="1"/>
        <v>5063.509400728919</v>
      </c>
      <c r="O20" s="731">
        <f t="shared" si="1"/>
        <v>0</v>
      </c>
      <c r="P20" s="731">
        <f t="shared" si="1"/>
        <v>0</v>
      </c>
      <c r="Q20" s="732">
        <f t="shared" si="1"/>
        <v>0</v>
      </c>
      <c r="R20" s="733">
        <f t="shared" si="1"/>
        <v>100405.32672015272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391.56</v>
      </c>
      <c r="D22" s="727">
        <f>+landbouw!C8</f>
        <v>62.357142857142847</v>
      </c>
      <c r="E22" s="727">
        <f>+landbouw!D8</f>
        <v>605.98615000000007</v>
      </c>
      <c r="F22" s="727">
        <f>+landbouw!E8</f>
        <v>11.509144362279761</v>
      </c>
      <c r="G22" s="727">
        <f>+landbouw!F8</f>
        <v>1631.2178012081756</v>
      </c>
      <c r="H22" s="727">
        <f>+landbouw!G8</f>
        <v>0</v>
      </c>
      <c r="I22" s="727">
        <f>+landbouw!H8</f>
        <v>0</v>
      </c>
      <c r="J22" s="727">
        <f>+landbouw!I8</f>
        <v>0</v>
      </c>
      <c r="K22" s="727">
        <f>+landbouw!J8</f>
        <v>56.728635152744872</v>
      </c>
      <c r="L22" s="727">
        <f>+landbouw!K8</f>
        <v>0</v>
      </c>
      <c r="M22" s="727">
        <f>+landbouw!L8</f>
        <v>0</v>
      </c>
      <c r="N22" s="727">
        <f>+landbouw!M8</f>
        <v>0</v>
      </c>
      <c r="O22" s="727">
        <f>+landbouw!N8</f>
        <v>0</v>
      </c>
      <c r="P22" s="727">
        <f>+landbouw!O8</f>
        <v>0</v>
      </c>
      <c r="Q22" s="728">
        <f>+landbouw!P8</f>
        <v>0</v>
      </c>
      <c r="R22" s="729">
        <f>SUM(C22:Q22)</f>
        <v>2759.3588735803432</v>
      </c>
      <c r="S22" s="67"/>
    </row>
    <row r="23" spans="1:19" s="474" customFormat="1" ht="17.25" thickTop="1" thickBot="1">
      <c r="A23" s="734" t="s">
        <v>116</v>
      </c>
      <c r="B23" s="864"/>
      <c r="C23" s="735">
        <f ca="1">C20+C15+C22</f>
        <v>122436.74663369592</v>
      </c>
      <c r="D23" s="735">
        <f t="shared" ref="D23:Q23" ca="1" si="2">D20+D15+D22</f>
        <v>62.357142857142847</v>
      </c>
      <c r="E23" s="735">
        <f t="shared" ca="1" si="2"/>
        <v>134917.29556220063</v>
      </c>
      <c r="F23" s="735">
        <f t="shared" si="2"/>
        <v>13743.085216377378</v>
      </c>
      <c r="G23" s="735">
        <f t="shared" ca="1" si="2"/>
        <v>35863.067914155014</v>
      </c>
      <c r="H23" s="735">
        <f t="shared" si="2"/>
        <v>78222.24452835643</v>
      </c>
      <c r="I23" s="735">
        <f t="shared" si="2"/>
        <v>16730.534026345053</v>
      </c>
      <c r="J23" s="735">
        <f t="shared" si="2"/>
        <v>0</v>
      </c>
      <c r="K23" s="735">
        <f t="shared" si="2"/>
        <v>62.063970025249134</v>
      </c>
      <c r="L23" s="735">
        <f t="shared" si="2"/>
        <v>0</v>
      </c>
      <c r="M23" s="735">
        <f t="shared" ca="1" si="2"/>
        <v>0</v>
      </c>
      <c r="N23" s="735">
        <f t="shared" si="2"/>
        <v>5063.509400728919</v>
      </c>
      <c r="O23" s="735">
        <f t="shared" ca="1" si="2"/>
        <v>44754.674633004644</v>
      </c>
      <c r="P23" s="735">
        <f t="shared" si="2"/>
        <v>370.51000000000005</v>
      </c>
      <c r="Q23" s="736">
        <f t="shared" si="2"/>
        <v>1773.2</v>
      </c>
      <c r="R23" s="737">
        <f ca="1">R20+R15+R22</f>
        <v>453999.2890277463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5687.951986951969</v>
      </c>
      <c r="D36" s="718">
        <f ca="1">tertiair!C20</f>
        <v>0</v>
      </c>
      <c r="E36" s="718">
        <f ca="1">tertiair!D20</f>
        <v>5932.3348949589999</v>
      </c>
      <c r="F36" s="718">
        <f>tertiair!E20</f>
        <v>71.60085103542319</v>
      </c>
      <c r="G36" s="718">
        <f ca="1">tertiair!F20</f>
        <v>1356.3205770833149</v>
      </c>
      <c r="H36" s="718">
        <f>tertiair!G20</f>
        <v>0</v>
      </c>
      <c r="I36" s="718">
        <f>tertiair!H20</f>
        <v>0</v>
      </c>
      <c r="J36" s="718">
        <f>tertiair!I20</f>
        <v>0</v>
      </c>
      <c r="K36" s="718">
        <f>tertiair!J20</f>
        <v>2.3414439734878358E-2</v>
      </c>
      <c r="L36" s="718">
        <f>tertiair!K20</f>
        <v>0</v>
      </c>
      <c r="M36" s="718">
        <f ca="1">tertiair!L20</f>
        <v>0</v>
      </c>
      <c r="N36" s="718">
        <f>tertiair!M20</f>
        <v>0</v>
      </c>
      <c r="O36" s="718">
        <f ca="1">tertiair!N20</f>
        <v>0</v>
      </c>
      <c r="P36" s="718">
        <f>tertiair!O20</f>
        <v>0</v>
      </c>
      <c r="Q36" s="828">
        <f>tertiair!P20</f>
        <v>0</v>
      </c>
      <c r="R36" s="917">
        <f ca="1">SUM(C36:Q36)</f>
        <v>13048.231724469442</v>
      </c>
    </row>
    <row r="37" spans="1:18">
      <c r="A37" s="885" t="s">
        <v>225</v>
      </c>
      <c r="B37" s="892"/>
      <c r="C37" s="718">
        <f ca="1">huishoudens!B12</f>
        <v>4803.8960084646915</v>
      </c>
      <c r="D37" s="718">
        <f ca="1">huishoudens!C12</f>
        <v>0</v>
      </c>
      <c r="E37" s="718">
        <f>huishoudens!D12</f>
        <v>10616.668220111802</v>
      </c>
      <c r="F37" s="718">
        <f>huishoudens!E12</f>
        <v>1701.6578076693092</v>
      </c>
      <c r="G37" s="718">
        <f>huishoudens!F12</f>
        <v>2835.3731731509747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19957.595209396779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12228.026862414445</v>
      </c>
      <c r="D39" s="718">
        <f ca="1">industrie!C22</f>
        <v>0</v>
      </c>
      <c r="E39" s="718">
        <f>industrie!D22</f>
        <v>10551.911615753201</v>
      </c>
      <c r="F39" s="718">
        <f>industrie!E22</f>
        <v>1298.8645249823596</v>
      </c>
      <c r="G39" s="718">
        <f>industrie!F22</f>
        <v>4948.2102299225153</v>
      </c>
      <c r="H39" s="718">
        <f>industrie!G22</f>
        <v>0</v>
      </c>
      <c r="I39" s="718">
        <f>industrie!H22</f>
        <v>0</v>
      </c>
      <c r="J39" s="718">
        <f>industrie!I22</f>
        <v>0</v>
      </c>
      <c r="K39" s="718">
        <f>industrie!J22</f>
        <v>1.8652941051316312</v>
      </c>
      <c r="L39" s="718">
        <f>industrie!K22</f>
        <v>0</v>
      </c>
      <c r="M39" s="718">
        <f>industrie!L22</f>
        <v>0</v>
      </c>
      <c r="N39" s="718">
        <f>industrie!M22</f>
        <v>0</v>
      </c>
      <c r="O39" s="718">
        <f>industrie!N22</f>
        <v>0</v>
      </c>
      <c r="P39" s="718">
        <f>industrie!O22</f>
        <v>0</v>
      </c>
      <c r="Q39" s="828">
        <f>industrie!P22</f>
        <v>0</v>
      </c>
      <c r="R39" s="918">
        <f ca="1">SUM(C39:Q39)</f>
        <v>29028.878527177654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22719.874857831106</v>
      </c>
      <c r="D41" s="763">
        <f t="shared" ref="D41:R41" ca="1" si="4">SUM(D35:D40)</f>
        <v>0</v>
      </c>
      <c r="E41" s="763">
        <f t="shared" ca="1" si="4"/>
        <v>27100.914730824003</v>
      </c>
      <c r="F41" s="763">
        <f t="shared" si="4"/>
        <v>3072.123183687092</v>
      </c>
      <c r="G41" s="763">
        <f t="shared" ca="1" si="4"/>
        <v>9139.9039801568051</v>
      </c>
      <c r="H41" s="763">
        <f t="shared" si="4"/>
        <v>0</v>
      </c>
      <c r="I41" s="763">
        <f t="shared" si="4"/>
        <v>0</v>
      </c>
      <c r="J41" s="763">
        <f t="shared" si="4"/>
        <v>0</v>
      </c>
      <c r="K41" s="763">
        <f t="shared" si="4"/>
        <v>1.8887085448665095</v>
      </c>
      <c r="L41" s="763">
        <f t="shared" si="4"/>
        <v>0</v>
      </c>
      <c r="M41" s="763">
        <f t="shared" ca="1" si="4"/>
        <v>0</v>
      </c>
      <c r="N41" s="763">
        <f t="shared" si="4"/>
        <v>0</v>
      </c>
      <c r="O41" s="763">
        <f t="shared" ca="1" si="4"/>
        <v>0</v>
      </c>
      <c r="P41" s="763">
        <f t="shared" si="4"/>
        <v>0</v>
      </c>
      <c r="Q41" s="764">
        <f t="shared" si="4"/>
        <v>0</v>
      </c>
      <c r="R41" s="765">
        <f t="shared" ca="1" si="4"/>
        <v>62034.705461043879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528.38865598273458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528.38865598273458</v>
      </c>
    </row>
    <row r="45" spans="1:18" ht="15" thickBot="1">
      <c r="A45" s="888" t="s">
        <v>307</v>
      </c>
      <c r="B45" s="898"/>
      <c r="C45" s="727">
        <f ca="1">transport!B18</f>
        <v>7.94803097672765</v>
      </c>
      <c r="D45" s="727">
        <f>transport!C18</f>
        <v>0</v>
      </c>
      <c r="E45" s="727">
        <f>transport!D18</f>
        <v>29.969770440525028</v>
      </c>
      <c r="F45" s="727">
        <f>transport!E18</f>
        <v>44.944584660335416</v>
      </c>
      <c r="G45" s="727">
        <f>transport!F18</f>
        <v>0</v>
      </c>
      <c r="H45" s="727">
        <f>transport!G18</f>
        <v>20356.950633088432</v>
      </c>
      <c r="I45" s="727">
        <f>transport!H18</f>
        <v>4165.9029725599185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24605.715991725938</v>
      </c>
    </row>
    <row r="46" spans="1:18" ht="15.75" thickBot="1">
      <c r="A46" s="886" t="s">
        <v>230</v>
      </c>
      <c r="B46" s="899"/>
      <c r="C46" s="763">
        <f t="shared" ref="C46:R46" ca="1" si="5">SUM(C43:C45)</f>
        <v>7.94803097672765</v>
      </c>
      <c r="D46" s="763">
        <f t="shared" ca="1" si="5"/>
        <v>0</v>
      </c>
      <c r="E46" s="763">
        <f t="shared" si="5"/>
        <v>29.969770440525028</v>
      </c>
      <c r="F46" s="763">
        <f t="shared" si="5"/>
        <v>44.944584660335416</v>
      </c>
      <c r="G46" s="763">
        <f t="shared" si="5"/>
        <v>0</v>
      </c>
      <c r="H46" s="763">
        <f t="shared" si="5"/>
        <v>20885.339289071166</v>
      </c>
      <c r="I46" s="763">
        <f t="shared" si="5"/>
        <v>4165.9029725599185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25134.104647708671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72.918126276063646</v>
      </c>
      <c r="D48" s="718">
        <f ca="1">+landbouw!C12</f>
        <v>0</v>
      </c>
      <c r="E48" s="718">
        <f>+landbouw!D12</f>
        <v>122.40920230000002</v>
      </c>
      <c r="F48" s="718">
        <f>+landbouw!E12</f>
        <v>2.6125757702375059</v>
      </c>
      <c r="G48" s="718">
        <f>+landbouw!F12</f>
        <v>435.53515292258294</v>
      </c>
      <c r="H48" s="718">
        <f>+landbouw!G12</f>
        <v>0</v>
      </c>
      <c r="I48" s="718">
        <f>+landbouw!H12</f>
        <v>0</v>
      </c>
      <c r="J48" s="718">
        <f>+landbouw!I12</f>
        <v>0</v>
      </c>
      <c r="K48" s="718">
        <f>+landbouw!J12</f>
        <v>20.081936844071684</v>
      </c>
      <c r="L48" s="718">
        <f>+landbouw!K12</f>
        <v>0</v>
      </c>
      <c r="M48" s="718">
        <f>+landbouw!L12</f>
        <v>0</v>
      </c>
      <c r="N48" s="718">
        <f>+landbouw!M12</f>
        <v>0</v>
      </c>
      <c r="O48" s="718">
        <f>+landbouw!N12</f>
        <v>0</v>
      </c>
      <c r="P48" s="718">
        <f>+landbouw!O12</f>
        <v>0</v>
      </c>
      <c r="Q48" s="719">
        <f>+landbouw!P12</f>
        <v>0</v>
      </c>
      <c r="R48" s="761">
        <f ca="1">SUM(C48:Q48)</f>
        <v>653.55699411295586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22800.741015083899</v>
      </c>
      <c r="D53" s="773">
        <f t="shared" ref="D53:Q53" ca="1" si="6">D41+D46+D48</f>
        <v>0</v>
      </c>
      <c r="E53" s="773">
        <f t="shared" ca="1" si="6"/>
        <v>27253.29370356453</v>
      </c>
      <c r="F53" s="773">
        <f t="shared" si="6"/>
        <v>3119.6803441176648</v>
      </c>
      <c r="G53" s="773">
        <f t="shared" ca="1" si="6"/>
        <v>9575.4391330793878</v>
      </c>
      <c r="H53" s="773">
        <f t="shared" si="6"/>
        <v>20885.339289071166</v>
      </c>
      <c r="I53" s="773">
        <f t="shared" si="6"/>
        <v>4165.9029725599185</v>
      </c>
      <c r="J53" s="773">
        <f t="shared" si="6"/>
        <v>0</v>
      </c>
      <c r="K53" s="773">
        <f t="shared" si="6"/>
        <v>21.970645388938195</v>
      </c>
      <c r="L53" s="773">
        <f t="shared" si="6"/>
        <v>0</v>
      </c>
      <c r="M53" s="773">
        <f t="shared" ca="1" si="6"/>
        <v>0</v>
      </c>
      <c r="N53" s="773">
        <f t="shared" si="6"/>
        <v>0</v>
      </c>
      <c r="O53" s="773">
        <f t="shared" ca="1" si="6"/>
        <v>0</v>
      </c>
      <c r="P53" s="773">
        <f>P41+P46+P48</f>
        <v>0</v>
      </c>
      <c r="Q53" s="774">
        <f t="shared" si="6"/>
        <v>0</v>
      </c>
      <c r="R53" s="775">
        <f ca="1">R41+R46+R48</f>
        <v>87822.367102865494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0.18622465593028822</v>
      </c>
      <c r="D55" s="836">
        <f t="shared" ca="1" si="7"/>
        <v>0</v>
      </c>
      <c r="E55" s="836">
        <f t="shared" ca="1" si="7"/>
        <v>0.20200000000000001</v>
      </c>
      <c r="F55" s="836">
        <f t="shared" si="7"/>
        <v>0.22700000000000001</v>
      </c>
      <c r="G55" s="836">
        <f t="shared" ca="1" si="7"/>
        <v>0.26699999999999996</v>
      </c>
      <c r="H55" s="836">
        <f t="shared" si="7"/>
        <v>0.26699999999999996</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19222.322809786889</v>
      </c>
      <c r="C66" s="795">
        <f>'lokale energieproductie'!B6</f>
        <v>19222.322809786889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19265.97280978689</v>
      </c>
      <c r="C69" s="803">
        <f>SUM(C64:C68)</f>
        <v>19265.97280978689</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25796.240484197719</v>
      </c>
      <c r="C4" s="478">
        <f>huishoudens!C8</f>
        <v>0</v>
      </c>
      <c r="D4" s="478">
        <f>huishoudens!D8</f>
        <v>52557.763465900003</v>
      </c>
      <c r="E4" s="478">
        <f>huishoudens!E8</f>
        <v>7496.289901626913</v>
      </c>
      <c r="F4" s="478">
        <f>huishoudens!F8</f>
        <v>10619.375180340729</v>
      </c>
      <c r="G4" s="478">
        <f>huishoudens!G8</f>
        <v>0</v>
      </c>
      <c r="H4" s="478">
        <f>huishoudens!H8</f>
        <v>0</v>
      </c>
      <c r="I4" s="478">
        <f>huishoudens!I8</f>
        <v>0</v>
      </c>
      <c r="J4" s="478">
        <f>huishoudens!J8</f>
        <v>0</v>
      </c>
      <c r="K4" s="478">
        <f>huishoudens!K8</f>
        <v>0</v>
      </c>
      <c r="L4" s="478">
        <f>huishoudens!L8</f>
        <v>0</v>
      </c>
      <c r="M4" s="478">
        <f>huishoudens!M8</f>
        <v>0</v>
      </c>
      <c r="N4" s="478">
        <f>huishoudens!N8</f>
        <v>17686.349332974507</v>
      </c>
      <c r="O4" s="478">
        <f>huishoudens!O8</f>
        <v>370.51000000000005</v>
      </c>
      <c r="P4" s="479">
        <f>huishoudens!P8</f>
        <v>1735.0666666666666</v>
      </c>
      <c r="Q4" s="480">
        <f>SUM(B4:P4)</f>
        <v>116261.59503170651</v>
      </c>
    </row>
    <row r="5" spans="1:17">
      <c r="A5" s="477" t="s">
        <v>156</v>
      </c>
      <c r="B5" s="478">
        <f ca="1">tertiair!B16</f>
        <v>29531.066749999998</v>
      </c>
      <c r="C5" s="478">
        <f ca="1">tertiair!C16</f>
        <v>0</v>
      </c>
      <c r="D5" s="478">
        <f ca="1">tertiair!D16</f>
        <v>29367.9945295</v>
      </c>
      <c r="E5" s="478">
        <f>tertiair!E16</f>
        <v>315.42225125737087</v>
      </c>
      <c r="F5" s="478">
        <f ca="1">tertiair!F16</f>
        <v>5079.8523486266477</v>
      </c>
      <c r="G5" s="478">
        <f>tertiair!G16</f>
        <v>0</v>
      </c>
      <c r="H5" s="478">
        <f>tertiair!H16</f>
        <v>0</v>
      </c>
      <c r="I5" s="478">
        <f>tertiair!I16</f>
        <v>0</v>
      </c>
      <c r="J5" s="478">
        <f>tertiair!J16</f>
        <v>6.6142485126775022E-2</v>
      </c>
      <c r="K5" s="478">
        <f>tertiair!K16</f>
        <v>0</v>
      </c>
      <c r="L5" s="478">
        <f ca="1">tertiair!L16</f>
        <v>0</v>
      </c>
      <c r="M5" s="478">
        <f>tertiair!M16</f>
        <v>0</v>
      </c>
      <c r="N5" s="478">
        <f ca="1">tertiair!N16</f>
        <v>2735.466705179314</v>
      </c>
      <c r="O5" s="478">
        <f>tertiair!O16</f>
        <v>0</v>
      </c>
      <c r="P5" s="479">
        <f>tertiair!P16</f>
        <v>38.133333333333333</v>
      </c>
      <c r="Q5" s="477">
        <f t="shared" ref="Q5:Q13" ca="1" si="0">SUM(B5:P5)</f>
        <v>67068.002060381783</v>
      </c>
    </row>
    <row r="6" spans="1:17">
      <c r="A6" s="477" t="s">
        <v>194</v>
      </c>
      <c r="B6" s="478">
        <f>'openbare verlichting'!B8</f>
        <v>1012.429</v>
      </c>
      <c r="C6" s="478"/>
      <c r="D6" s="478"/>
      <c r="E6" s="478"/>
      <c r="F6" s="478"/>
      <c r="G6" s="478"/>
      <c r="H6" s="478"/>
      <c r="I6" s="478"/>
      <c r="J6" s="478"/>
      <c r="K6" s="478"/>
      <c r="L6" s="478"/>
      <c r="M6" s="478"/>
      <c r="N6" s="478"/>
      <c r="O6" s="478"/>
      <c r="P6" s="479"/>
      <c r="Q6" s="477">
        <f t="shared" si="0"/>
        <v>1012.429</v>
      </c>
    </row>
    <row r="7" spans="1:17">
      <c r="A7" s="477" t="s">
        <v>112</v>
      </c>
      <c r="B7" s="478">
        <f>landbouw!B8</f>
        <v>391.56</v>
      </c>
      <c r="C7" s="478">
        <f>landbouw!C8</f>
        <v>62.357142857142847</v>
      </c>
      <c r="D7" s="478">
        <f>landbouw!D8</f>
        <v>605.98615000000007</v>
      </c>
      <c r="E7" s="478">
        <f>landbouw!E8</f>
        <v>11.509144362279761</v>
      </c>
      <c r="F7" s="478">
        <f>landbouw!F8</f>
        <v>1631.2178012081756</v>
      </c>
      <c r="G7" s="478">
        <f>landbouw!G8</f>
        <v>0</v>
      </c>
      <c r="H7" s="478">
        <f>landbouw!H8</f>
        <v>0</v>
      </c>
      <c r="I7" s="478">
        <f>landbouw!I8</f>
        <v>0</v>
      </c>
      <c r="J7" s="478">
        <f>landbouw!J8</f>
        <v>56.728635152744872</v>
      </c>
      <c r="K7" s="478">
        <f>landbouw!K8</f>
        <v>0</v>
      </c>
      <c r="L7" s="478">
        <f>landbouw!L8</f>
        <v>0</v>
      </c>
      <c r="M7" s="478">
        <f>landbouw!M8</f>
        <v>0</v>
      </c>
      <c r="N7" s="478">
        <f>landbouw!N8</f>
        <v>0</v>
      </c>
      <c r="O7" s="478">
        <f>landbouw!O8</f>
        <v>0</v>
      </c>
      <c r="P7" s="479">
        <f>landbouw!P8</f>
        <v>0</v>
      </c>
      <c r="Q7" s="477">
        <f t="shared" si="0"/>
        <v>2759.3588735803432</v>
      </c>
    </row>
    <row r="8" spans="1:17">
      <c r="A8" s="477" t="s">
        <v>635</v>
      </c>
      <c r="B8" s="478">
        <f>industrie!B18</f>
        <v>65662.770600000003</v>
      </c>
      <c r="C8" s="478">
        <f>industrie!C18</f>
        <v>0</v>
      </c>
      <c r="D8" s="478">
        <f>industrie!D18</f>
        <v>52237.186216599999</v>
      </c>
      <c r="E8" s="478">
        <f>industrie!E18</f>
        <v>5721.8701541073106</v>
      </c>
      <c r="F8" s="478">
        <f>industrie!F18</f>
        <v>18532.622583979457</v>
      </c>
      <c r="G8" s="478">
        <f>industrie!G18</f>
        <v>0</v>
      </c>
      <c r="H8" s="478">
        <f>industrie!H18</f>
        <v>0</v>
      </c>
      <c r="I8" s="478">
        <f>industrie!I18</f>
        <v>0</v>
      </c>
      <c r="J8" s="478">
        <f>industrie!J18</f>
        <v>5.2691923873774895</v>
      </c>
      <c r="K8" s="478">
        <f>industrie!K18</f>
        <v>0</v>
      </c>
      <c r="L8" s="478">
        <f>industrie!L18</f>
        <v>0</v>
      </c>
      <c r="M8" s="478">
        <f>industrie!M18</f>
        <v>0</v>
      </c>
      <c r="N8" s="478">
        <f>industrie!N18</f>
        <v>24332.858594850819</v>
      </c>
      <c r="O8" s="478">
        <f>industrie!O18</f>
        <v>0</v>
      </c>
      <c r="P8" s="479">
        <f>industrie!P18</f>
        <v>0</v>
      </c>
      <c r="Q8" s="477">
        <f t="shared" si="0"/>
        <v>166492.57734192495</v>
      </c>
    </row>
    <row r="9" spans="1:17" s="483" customFormat="1">
      <c r="A9" s="481" t="s">
        <v>561</v>
      </c>
      <c r="B9" s="482">
        <f>transport!B14</f>
        <v>42.679799498208958</v>
      </c>
      <c r="C9" s="482">
        <f>transport!C14</f>
        <v>0</v>
      </c>
      <c r="D9" s="482">
        <f>transport!D14</f>
        <v>148.36520020061894</v>
      </c>
      <c r="E9" s="482">
        <f>transport!E14</f>
        <v>197.99376502350404</v>
      </c>
      <c r="F9" s="482">
        <f>transport!F14</f>
        <v>0</v>
      </c>
      <c r="G9" s="482">
        <f>transport!G14</f>
        <v>76243.260798084011</v>
      </c>
      <c r="H9" s="482">
        <f>transport!H14</f>
        <v>16730.534026345053</v>
      </c>
      <c r="I9" s="482">
        <f>transport!I14</f>
        <v>0</v>
      </c>
      <c r="J9" s="482">
        <f>transport!J14</f>
        <v>0</v>
      </c>
      <c r="K9" s="482">
        <f>transport!K14</f>
        <v>0</v>
      </c>
      <c r="L9" s="482">
        <f>transport!L14</f>
        <v>0</v>
      </c>
      <c r="M9" s="482">
        <f>transport!M14</f>
        <v>4951.1118612242872</v>
      </c>
      <c r="N9" s="482">
        <f>transport!N14</f>
        <v>0</v>
      </c>
      <c r="O9" s="482">
        <f>transport!O14</f>
        <v>0</v>
      </c>
      <c r="P9" s="482">
        <f>transport!P14</f>
        <v>0</v>
      </c>
      <c r="Q9" s="481">
        <f>SUM(B9:P9)</f>
        <v>98313.945450375671</v>
      </c>
    </row>
    <row r="10" spans="1:17">
      <c r="A10" s="477" t="s">
        <v>551</v>
      </c>
      <c r="B10" s="478">
        <f>transport!B54</f>
        <v>0</v>
      </c>
      <c r="C10" s="478">
        <f>transport!C54</f>
        <v>0</v>
      </c>
      <c r="D10" s="478">
        <f>transport!D54</f>
        <v>0</v>
      </c>
      <c r="E10" s="478">
        <f>transport!E54</f>
        <v>0</v>
      </c>
      <c r="F10" s="478">
        <f>transport!F54</f>
        <v>0</v>
      </c>
      <c r="G10" s="478">
        <f>transport!G54</f>
        <v>1978.9837302724138</v>
      </c>
      <c r="H10" s="478">
        <f>transport!H54</f>
        <v>0</v>
      </c>
      <c r="I10" s="478">
        <f>transport!I54</f>
        <v>0</v>
      </c>
      <c r="J10" s="478">
        <f>transport!J54</f>
        <v>0</v>
      </c>
      <c r="K10" s="478">
        <f>transport!K54</f>
        <v>0</v>
      </c>
      <c r="L10" s="478">
        <f>transport!L54</f>
        <v>0</v>
      </c>
      <c r="M10" s="478">
        <f>transport!M54</f>
        <v>112.39753950463201</v>
      </c>
      <c r="N10" s="478">
        <f>transport!N54</f>
        <v>0</v>
      </c>
      <c r="O10" s="478">
        <f>transport!O54</f>
        <v>0</v>
      </c>
      <c r="P10" s="479">
        <f>transport!P54</f>
        <v>0</v>
      </c>
      <c r="Q10" s="477">
        <f t="shared" si="0"/>
        <v>2091.3812697770459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122436.74663369592</v>
      </c>
      <c r="C14" s="488">
        <f t="shared" ref="C14:Q14" ca="1" si="1">SUM(C4:C13)</f>
        <v>62.357142857142847</v>
      </c>
      <c r="D14" s="488">
        <f t="shared" ca="1" si="1"/>
        <v>134917.2955622006</v>
      </c>
      <c r="E14" s="488">
        <f t="shared" si="1"/>
        <v>13743.085216377378</v>
      </c>
      <c r="F14" s="488">
        <f t="shared" ca="1" si="1"/>
        <v>35863.067914155006</v>
      </c>
      <c r="G14" s="488">
        <f t="shared" si="1"/>
        <v>78222.24452835643</v>
      </c>
      <c r="H14" s="488">
        <f t="shared" si="1"/>
        <v>16730.534026345053</v>
      </c>
      <c r="I14" s="488">
        <f t="shared" si="1"/>
        <v>0</v>
      </c>
      <c r="J14" s="488">
        <f t="shared" si="1"/>
        <v>62.063970025249134</v>
      </c>
      <c r="K14" s="488">
        <f t="shared" si="1"/>
        <v>0</v>
      </c>
      <c r="L14" s="488">
        <f t="shared" ca="1" si="1"/>
        <v>0</v>
      </c>
      <c r="M14" s="488">
        <f t="shared" si="1"/>
        <v>5063.509400728919</v>
      </c>
      <c r="N14" s="488">
        <f t="shared" ca="1" si="1"/>
        <v>44754.674633004644</v>
      </c>
      <c r="O14" s="488">
        <f t="shared" si="1"/>
        <v>370.51000000000005</v>
      </c>
      <c r="P14" s="489">
        <f t="shared" si="1"/>
        <v>1773.2</v>
      </c>
      <c r="Q14" s="489">
        <f t="shared" ca="1" si="1"/>
        <v>453999.2890277463</v>
      </c>
    </row>
    <row r="16" spans="1:17">
      <c r="A16" s="491" t="s">
        <v>556</v>
      </c>
      <c r="B16" s="841">
        <f ca="1">huishoudens!B10</f>
        <v>0.1862246559302882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4803.8960084646915</v>
      </c>
      <c r="C21" s="478">
        <f t="shared" ref="C21:C30" ca="1" si="3">C4*$C$16</f>
        <v>0</v>
      </c>
      <c r="D21" s="478">
        <f t="shared" ref="D21:D30" si="4">D4*$D$16</f>
        <v>10616.668220111802</v>
      </c>
      <c r="E21" s="478">
        <f t="shared" ref="E21:E30" si="5">E4*$E$16</f>
        <v>1701.6578076693092</v>
      </c>
      <c r="F21" s="478">
        <f t="shared" ref="F21:F30" si="6">F4*$F$16</f>
        <v>2835.3731731509747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19957.595209396779</v>
      </c>
    </row>
    <row r="22" spans="1:17">
      <c r="A22" s="477" t="s">
        <v>156</v>
      </c>
      <c r="B22" s="478">
        <f t="shared" ca="1" si="2"/>
        <v>5499.4127447731234</v>
      </c>
      <c r="C22" s="478">
        <f t="shared" ca="1" si="3"/>
        <v>0</v>
      </c>
      <c r="D22" s="478">
        <f t="shared" ca="1" si="4"/>
        <v>5932.3348949589999</v>
      </c>
      <c r="E22" s="478">
        <f t="shared" si="5"/>
        <v>71.60085103542319</v>
      </c>
      <c r="F22" s="478">
        <f t="shared" ca="1" si="6"/>
        <v>1356.3205770833149</v>
      </c>
      <c r="G22" s="478">
        <f t="shared" si="7"/>
        <v>0</v>
      </c>
      <c r="H22" s="478">
        <f t="shared" si="8"/>
        <v>0</v>
      </c>
      <c r="I22" s="478">
        <f t="shared" si="9"/>
        <v>0</v>
      </c>
      <c r="J22" s="478">
        <f t="shared" si="10"/>
        <v>2.3414439734878358E-2</v>
      </c>
      <c r="K22" s="478">
        <f t="shared" si="11"/>
        <v>0</v>
      </c>
      <c r="L22" s="478">
        <f t="shared" ca="1" si="12"/>
        <v>0</v>
      </c>
      <c r="M22" s="478">
        <f t="shared" si="13"/>
        <v>0</v>
      </c>
      <c r="N22" s="478">
        <f t="shared" ca="1" si="14"/>
        <v>0</v>
      </c>
      <c r="O22" s="478">
        <f t="shared" si="15"/>
        <v>0</v>
      </c>
      <c r="P22" s="479">
        <f t="shared" si="16"/>
        <v>0</v>
      </c>
      <c r="Q22" s="477">
        <f t="shared" ref="Q22:Q30" ca="1" si="17">SUM(B22:P22)</f>
        <v>12859.692482290597</v>
      </c>
    </row>
    <row r="23" spans="1:17">
      <c r="A23" s="477" t="s">
        <v>194</v>
      </c>
      <c r="B23" s="478">
        <f t="shared" ca="1" si="2"/>
        <v>188.53924217884574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188.53924217884574</v>
      </c>
    </row>
    <row r="24" spans="1:17">
      <c r="A24" s="477" t="s">
        <v>112</v>
      </c>
      <c r="B24" s="478">
        <f t="shared" ca="1" si="2"/>
        <v>72.918126276063646</v>
      </c>
      <c r="C24" s="478">
        <f t="shared" ca="1" si="3"/>
        <v>0</v>
      </c>
      <c r="D24" s="478">
        <f t="shared" si="4"/>
        <v>122.40920230000002</v>
      </c>
      <c r="E24" s="478">
        <f t="shared" si="5"/>
        <v>2.6125757702375059</v>
      </c>
      <c r="F24" s="478">
        <f t="shared" si="6"/>
        <v>435.53515292258294</v>
      </c>
      <c r="G24" s="478">
        <f t="shared" si="7"/>
        <v>0</v>
      </c>
      <c r="H24" s="478">
        <f t="shared" si="8"/>
        <v>0</v>
      </c>
      <c r="I24" s="478">
        <f t="shared" si="9"/>
        <v>0</v>
      </c>
      <c r="J24" s="478">
        <f t="shared" si="10"/>
        <v>20.081936844071684</v>
      </c>
      <c r="K24" s="478">
        <f t="shared" si="11"/>
        <v>0</v>
      </c>
      <c r="L24" s="478">
        <f t="shared" si="12"/>
        <v>0</v>
      </c>
      <c r="M24" s="478">
        <f t="shared" si="13"/>
        <v>0</v>
      </c>
      <c r="N24" s="478">
        <f t="shared" si="14"/>
        <v>0</v>
      </c>
      <c r="O24" s="478">
        <f t="shared" si="15"/>
        <v>0</v>
      </c>
      <c r="P24" s="479">
        <f t="shared" si="16"/>
        <v>0</v>
      </c>
      <c r="Q24" s="477">
        <f t="shared" ca="1" si="17"/>
        <v>653.55699411295586</v>
      </c>
    </row>
    <row r="25" spans="1:17">
      <c r="A25" s="477" t="s">
        <v>635</v>
      </c>
      <c r="B25" s="478">
        <f t="shared" ca="1" si="2"/>
        <v>12228.026862414445</v>
      </c>
      <c r="C25" s="478">
        <f t="shared" ca="1" si="3"/>
        <v>0</v>
      </c>
      <c r="D25" s="478">
        <f t="shared" si="4"/>
        <v>10551.911615753201</v>
      </c>
      <c r="E25" s="478">
        <f t="shared" si="5"/>
        <v>1298.8645249823596</v>
      </c>
      <c r="F25" s="478">
        <f t="shared" si="6"/>
        <v>4948.2102299225153</v>
      </c>
      <c r="G25" s="478">
        <f t="shared" si="7"/>
        <v>0</v>
      </c>
      <c r="H25" s="478">
        <f t="shared" si="8"/>
        <v>0</v>
      </c>
      <c r="I25" s="478">
        <f t="shared" si="9"/>
        <v>0</v>
      </c>
      <c r="J25" s="478">
        <f t="shared" si="10"/>
        <v>1.8652941051316312</v>
      </c>
      <c r="K25" s="478">
        <f t="shared" si="11"/>
        <v>0</v>
      </c>
      <c r="L25" s="478">
        <f t="shared" si="12"/>
        <v>0</v>
      </c>
      <c r="M25" s="478">
        <f t="shared" si="13"/>
        <v>0</v>
      </c>
      <c r="N25" s="478">
        <f t="shared" si="14"/>
        <v>0</v>
      </c>
      <c r="O25" s="478">
        <f t="shared" si="15"/>
        <v>0</v>
      </c>
      <c r="P25" s="479">
        <f t="shared" si="16"/>
        <v>0</v>
      </c>
      <c r="Q25" s="477">
        <f t="shared" ca="1" si="17"/>
        <v>29028.878527177654</v>
      </c>
    </row>
    <row r="26" spans="1:17" s="483" customFormat="1">
      <c r="A26" s="481" t="s">
        <v>561</v>
      </c>
      <c r="B26" s="835">
        <f t="shared" ca="1" si="2"/>
        <v>7.94803097672765</v>
      </c>
      <c r="C26" s="482">
        <f t="shared" ca="1" si="3"/>
        <v>0</v>
      </c>
      <c r="D26" s="482">
        <f t="shared" si="4"/>
        <v>29.969770440525028</v>
      </c>
      <c r="E26" s="482">
        <f t="shared" si="5"/>
        <v>44.944584660335416</v>
      </c>
      <c r="F26" s="482">
        <f t="shared" si="6"/>
        <v>0</v>
      </c>
      <c r="G26" s="482">
        <f t="shared" si="7"/>
        <v>20356.950633088432</v>
      </c>
      <c r="H26" s="482">
        <f t="shared" si="8"/>
        <v>4165.9029725599185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24605.715991725938</v>
      </c>
    </row>
    <row r="27" spans="1:17">
      <c r="A27" s="477" t="s">
        <v>551</v>
      </c>
      <c r="B27" s="478">
        <f t="shared" ca="1" si="2"/>
        <v>0</v>
      </c>
      <c r="C27" s="478">
        <f t="shared" ca="1" si="3"/>
        <v>0</v>
      </c>
      <c r="D27" s="478">
        <f t="shared" si="4"/>
        <v>0</v>
      </c>
      <c r="E27" s="478">
        <f t="shared" si="5"/>
        <v>0</v>
      </c>
      <c r="F27" s="478">
        <f t="shared" si="6"/>
        <v>0</v>
      </c>
      <c r="G27" s="478">
        <f t="shared" si="7"/>
        <v>528.38865598273458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528.38865598273458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22800.741015083895</v>
      </c>
      <c r="C31" s="488">
        <f t="shared" ca="1" si="18"/>
        <v>0</v>
      </c>
      <c r="D31" s="488">
        <f t="shared" ca="1" si="18"/>
        <v>27253.29370356453</v>
      </c>
      <c r="E31" s="488">
        <f t="shared" si="18"/>
        <v>3119.6803441176648</v>
      </c>
      <c r="F31" s="488">
        <f t="shared" ca="1" si="18"/>
        <v>9575.4391330793878</v>
      </c>
      <c r="G31" s="488">
        <f t="shared" si="18"/>
        <v>20885.339289071166</v>
      </c>
      <c r="H31" s="488">
        <f t="shared" si="18"/>
        <v>4165.9029725599185</v>
      </c>
      <c r="I31" s="488">
        <f t="shared" si="18"/>
        <v>0</v>
      </c>
      <c r="J31" s="488">
        <f t="shared" si="18"/>
        <v>21.970645388938195</v>
      </c>
      <c r="K31" s="488">
        <f t="shared" si="18"/>
        <v>0</v>
      </c>
      <c r="L31" s="488">
        <f t="shared" ca="1" si="18"/>
        <v>0</v>
      </c>
      <c r="M31" s="488">
        <f t="shared" si="18"/>
        <v>0</v>
      </c>
      <c r="N31" s="488">
        <f t="shared" ca="1" si="18"/>
        <v>0</v>
      </c>
      <c r="O31" s="488">
        <f t="shared" si="18"/>
        <v>0</v>
      </c>
      <c r="P31" s="489">
        <f t="shared" si="18"/>
        <v>0</v>
      </c>
      <c r="Q31" s="489">
        <f t="shared" ca="1" si="18"/>
        <v>87822.367102865523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0.1862246559302882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0.1862246559302882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0.1862246559302882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2018-09-06T12:49:20Z</dcterms:modified>
</cp:coreProperties>
</file>