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<sst xmlns="http://schemas.openxmlformats.org/spreadsheetml/2006/main" count="1914" uniqueCount="809">
  <si>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</si>
  <si>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</si>
  <si>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</si>
  <si>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</si>
  <si>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</si>
  <si>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</si>
  <si>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</si>
  <si>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</si>
  <si>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</si>
  <si>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</si>
  <si>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</si>
  <si>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</si>
  <si>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</si>
  <si>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</si>
  <si>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</si>
  <si>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</si>
  <si>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</si>
  <si>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</si>
  <si>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</si>
  <si>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</si>
  <si>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</si>
  <si>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</si>
  <si>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</si>
  <si>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</si>
  <si>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</si>
  <si>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</si>
  <si>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</si>
  <si>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</si>
  <si>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</si>
  <si>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</si>
  <si>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</si>
  <si>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</si>
  <si>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</si>
  <si>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</si>
  <si>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</si>
  <si>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</si>
  <si>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</si>
  <si>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</si>
  <si>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</si>
  <si>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</si>
  <si>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</si>
  <si>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</si>
  <si>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</si>
  <si>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</si>
  <si>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</si>
  <si>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</si>
  <si>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</si>
  <si>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</si>
  <si>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</si>
  <si>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</si>
  <si>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</si>
  <si>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</si>
  <si>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</si>
  <si>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</si>
  <si>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</si>
  <si>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</si>
  <si>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</si>
  <si>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</si>
  <si>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</si>
  <si>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</si>
  <si>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</si>
  <si>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</si>
  <si>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</si>
  <si>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</si>
  <si>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</si>
  <si>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</si>
  <si>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</si>
  <si>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</si>
  <si>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</si>
  <si>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</si>
  <si>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</si>
  <si>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</si>
  <si>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</si>
  <si>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</si>
  <si>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</si>
  <si>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</si>
  <si>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</si>
  <si>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</si>
  <si>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</si>
  <si>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</si>
  <si>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</si>
  <si>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</si>
  <si>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</si>
  <si>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</si>
  <si>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</si>
  <si>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</si>
  <si>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</si>
  <si>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</si>
  <si>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</si>
  <si>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</si>
  <si>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</si>
  <si>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</si>
  <si>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</si>
  <si>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</si>
  <si>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</si>
  <si>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</si>
  <si>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</si>
  <si>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</si>
  <si>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</si>
  <si>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</si>
  <si>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</si>
  <si>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</si>
  <si>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</si>
  <si>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</si>
  <si>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</si>
  <si>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</si>
  <si>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</si>
  <si>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</si>
  <si>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</si>
  <si>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</si>
  <si>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</si>
  <si>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</si>
  <si>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</si>
  <si>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</si>
  <si>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</si>
  <si>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</si>
  <si>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</si>
  <si>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</si>
  <si>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</si>
  <si>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</si>
  <si>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</si>
  <si>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</si>
  <si>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</si>
  <si>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</si>
  <si>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</si>
  <si>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</si>
  <si>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</si>
  <si>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</si>
  <si>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</si>
  <si>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</si>
  <si>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</si>
  <si>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</si>
  <si>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</si>
  <si>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</si>
  <si>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</si>
  <si>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</si>
  <si>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</si>
  <si>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</si>
  <si>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</si>
  <si>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</si>
  <si>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</si>
  <si>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</si>
  <si>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</si>
  <si>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</si>
  <si>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</si>
  <si>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</si>
  <si>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</si>
  <si>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</si>
  <si>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</si>
  <si>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</si>
  <si>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</si>
  <si>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</si>
  <si>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</si>
  <si>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</si>
  <si>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</si>
  <si>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</si>
  <si>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</si>
  <si>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</si>
  <si>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</si>
  <si>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</si>
  <si>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</si>
  <si>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</si>
  <si>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</si>
  <si>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</si>
  <si>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</si>
  <si>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</si>
  <si>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</si>
  <si>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</si>
  <si>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</si>
  <si>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</si>
  <si>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</si>
  <si>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</si>
  <si>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</si>
  <si>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</si>
  <si>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</si>
  <si>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</si>
  <si>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</si>
  <si>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</si>
  <si>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</si>
  <si>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</si>
  <si>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</si>
  <si>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</si>
  <si>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</si>
  <si>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</si>
  <si>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</si>
  <si>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</si>
  <si>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</si>
  <si>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</si>
  <si>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</si>
  <si>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</si>
  <si>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</si>
  <si>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</si>
  <si>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</si>
  <si>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</si>
  <si>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</si>
  <si>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</si>
  <si>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</si>
  <si>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</si>
  <si>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</si>
  <si>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</si>
  <si>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</si>
  <si>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</si>
  <si>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</si>
  <si>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</si>
  <si>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</si>
  <si>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</si>
  <si>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</si>
  <si>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</si>
  <si>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</si>
  <si>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</si>
  <si>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</si>
  <si>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</si>
  <si>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</si>
  <si>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</si>
  <si>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</si>
  <si>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</si>
  <si>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</si>
  <si>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</si>
  <si>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</si>
  <si>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</si>
  <si>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</si>
  <si>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</si>
  <si>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</si>
  <si>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</si>
  <si>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</si>
  <si>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</si>
  <si>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</si>
  <si>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</si>
  <si>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</si>
  <si>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</si>
  <si>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</si>
  <si>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</si>
  <si>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</si>
  <si>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</si>
  <si>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</si>
  <si>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</si>
  <si>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</si>
  <si>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</si>
  <si>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</si>
  <si>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</si>
  <si>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</si>
  <si>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</si>
  <si>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</si>
  <si>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</si>
  <si>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</si>
  <si>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</si>
  <si>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</si>
  <si>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</si>
  <si>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</si>
  <si>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</si>
  <si>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</si>
  <si>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</si>
  <si>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</si>
  <si>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</si>
  <si>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</si>
  <si>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</si>
  <si>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</si>
  <si>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</si>
  <si>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</si>
  <si>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</si>
  <si>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</si>
  <si>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</si>
  <si>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</si>
  <si>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</si>
  <si>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</si>
  <si>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</si>
  <si>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</si>
  <si>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</si>
  <si>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</si>
  <si>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</si>
  <si>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</si>
  <si>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</si>
  <si>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</si>
  <si>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</si>
  <si>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</si>
  <si>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</si>
  <si>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</si>
  <si>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</si>
  <si>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</si>
  <si>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</si>
  <si>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</si>
  <si>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</si>
  <si>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</si>
  <si>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</si>
  <si>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</si>
  <si>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</si>
  <si>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</si>
  <si>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</si>
  <si>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</si>
  <si>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</si>
  <si>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</si>
  <si>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</si>
  <si>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</si>
  <si>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</si>
  <si>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</si>
  <si>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</si>
  <si>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</si>
  <si>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</si>
  <si>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</si>
  <si>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</si>
  <si>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</si>
  <si>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</si>
  <si>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</si>
  <si>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</si>
  <si>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</si>
  <si>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</si>
  <si>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</si>
  <si>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</si>
  <si>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</si>
  <si>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</si>
  <si>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</si>
  <si>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</si>
  <si>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</si>
  <si>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</si>
  <si>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</si>
  <si>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</si>
  <si>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</si>
  <si>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</si>
  <si>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</si>
  <si>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</si>
  <si>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</si>
  <si>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</si>
  <si>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</si>
  <si>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</si>
  <si>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</si>
  <si>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</si>
  <si>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</si>
  <si>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</si>
  <si>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</si>
  <si>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</si>
  <si>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</si>
  <si>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</si>
  <si>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</si>
  <si>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</si>
  <si>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</si>
  <si>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</si>
  <si>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</si>
  <si>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</si>
  <si>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</si>
  <si>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</si>
  <si>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</si>
  <si>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</si>
  <si>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</si>
  <si>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</si>
  <si>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</si>
  <si>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</si>
  <si>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</si>
  <si>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</si>
  <si>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</si>
  <si>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</si>
  <si>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</si>
  <si>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</si>
  <si>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</si>
  <si>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</si>
  <si>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</si>
  <si>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</si>
  <si>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</si>
  <si>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</si>
  <si>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</si>
  <si>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</si>
  <si>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</si>
  <si>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</si>
  <si>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</si>
  <si>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</si>
  <si>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</si>
  <si>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</si>
  <si>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</si>
  <si>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</si>
  <si>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</si>
  <si>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</si>
  <si>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</si>
  <si>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</si>
  <si>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</si>
  <si>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</si>
  <si>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</si>
  <si>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</si>
  <si>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</si>
  <si>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</si>
  <si>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</si>
  <si>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</si>
  <si>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</si>
  <si>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</si>
  <si>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</si>
  <si>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</si>
  <si>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</si>
  <si>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</si>
  <si>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</si>
  <si>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</si>
  <si>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</si>
  <si>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</si>
  <si>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</si>
  <si>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</si>
  <si>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</si>
  <si>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</si>
  <si>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</si>
  <si>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</si>
  <si>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</si>
  <si>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</si>
  <si>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</si>
  <si>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</si>
  <si>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</si>
  <si>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</si>
  <si>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</si>
  <si>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</si>
  <si>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</si>
  <si>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</si>
  <si>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</si>
  <si>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</si>
  <si>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</si>
  <si>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</si>
  <si>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</si>
  <si>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</si>
  <si>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</si>
  <si>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</si>
  <si>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</si>
  <si>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</si>
  <si>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</si>
  <si>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</si>
  <si>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</si>
  <si>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</si>
  <si>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</si>
  <si>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</si>
  <si>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</si>
  <si>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</si>
  <si>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</si>
  <si>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</si>
  <si>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</si>
  <si>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</si>
  <si>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</si>
  <si>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</si>
  <si>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</si>
  <si>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</si>
  <si>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</si>
  <si>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</si>
  <si>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</si>
  <si>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</si>
  <si>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</si>
  <si>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</si>
  <si>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</si>
  <si>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</si>
  <si>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</si>
  <si>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</si>
  <si>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</si>
  <si>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</si>
  <si>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</si>
  <si>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</si>
  <si>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</si>
  <si>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</si>
  <si>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</si>
  <si>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</si>
  <si>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</si>
  <si>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</si>
  <si>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</si>
  <si>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</si>
  <si>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</si>
  <si>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</si>
  <si>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</si>
  <si>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</si>
  <si>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</si>
  <si>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</si>
  <si>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</si>
  <si>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</si>
  <si>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</si>
  <si>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</si>
  <si>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</si>
  <si>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</si>
  <si>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</si>
  <si>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</si>
  <si>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</si>
  <si>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</si>
  <si>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</si>
  <si>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</si>
  <si>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</si>
  <si>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</si>
  <si>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</si>
  <si>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</si>
  <si>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</si>
  <si>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</si>
  <si>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</si>
  <si>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</si>
  <si>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</si>
  <si>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</si>
  <si>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</si>
  <si>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</si>
  <si>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</si>
  <si>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</si>
  <si>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</si>
  <si>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</si>
  <si>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</si>
  <si>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</si>
  <si>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</si>
  <si>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</si>
  <si>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</si>
  <si>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</si>
  <si>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</si>
  <si>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</si>
  <si>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</si>
  <si>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</si>
  <si>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</si>
  <si>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</si>
  <si>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</si>
  <si>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</si>
  <si>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</si>
  <si>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</si>
  <si>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</si>
  <si>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</si>
  <si>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</si>
  <si>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</si>
  <si>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</si>
  <si>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</si>
  <si>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</si>
  <si>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</si>
  <si>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</si>
  <si>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</si>
  <si>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</si>
  <si>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</si>
  <si>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</si>
  <si>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</si>
  <si>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</si>
  <si>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</si>
  <si>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</si>
  <si>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</si>
  <si>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</si>
  <si>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</si>
  <si>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</si>
  <si>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</si>
  <si>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</si>
  <si>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</si>
  <si>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</si>
  <si>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</si>
  <si>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</si>
  <si>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</si>
  <si>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</si>
  <si>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</si>
  <si>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</si>
  <si>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</si>
  <si>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</si>
  <si>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</si>
  <si>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</si>
  <si>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</si>
  <si>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</si>
  <si>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</si>
  <si>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</si>
  <si>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</si>
  <si>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</si>
  <si>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</si>
  <si>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</si>
  <si>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</si>
  <si>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</si>
  <si>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</si>
  <si>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</si>
  <si>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</si>
  <si>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</si>
  <si>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</si>
  <si>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</si>
  <si>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</si>
  <si>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</si>
  <si>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</si>
  <si>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</si>
  <si>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</si>
  <si>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</si>
  <si>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</si>
  <si>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</si>
  <si>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</si>
  <si>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</si>
  <si>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</si>
  <si>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</si>
  <si>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</si>
  <si>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</si>
  <si>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</si>
  <si>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</si>
  <si>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</si>
  <si>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</si>
  <si>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</si>
  <si>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</si>
  <si>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</si>
  <si>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</si>
  <si>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</si>
  <si>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</si>
  <si>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</si>
  <si>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</si>
  <si>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</si>
  <si>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</si>
  <si>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</si>
  <si>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</si>
  <si>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</si>
  <si>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</si>
  <si>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</si>
  <si>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</si>
  <si>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</si>
  <si>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</si>
  <si>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</si>
  <si>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</si>
  <si>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</si>
  <si>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</si>
  <si>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</si>
  <si>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</si>
  <si>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</si>
  <si>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</si>
  <si>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</si>
  <si>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</si>
  <si>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</si>
  <si>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</si>
  <si>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</si>
  <si>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</si>
  <si>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</si>
  <si>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</si>
  <si>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</si>
  <si>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</si>
  <si>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</si>
  <si>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</si>
  <si>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</si>
  <si>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</si>
  <si>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</si>
  <si>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</si>
  <si>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</si>
  <si>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</si>
  <si>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</si>
  <si>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</si>
  <si>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</si>
  <si>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</si>
  <si>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</si>
  <si>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</si>
  <si>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</si>
  <si>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</si>
  <si>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</si>
  <si>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</si>
  <si>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</si>
  <si>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</si>
  <si>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</si>
  <si>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</si>
  <si>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</si>
  <si>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</si>
  <si>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</si>
  <si>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</si>
  <si>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</si>
  <si>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</si>
  <si>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</si>
  <si>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</si>
  <si>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</si>
  <si>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</si>
  <si>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</si>
  <si>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</si>
  <si>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</si>
  <si>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</si>
  <si>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</si>
  <si>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</si>
  <si>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</si>
  <si>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</si>
  <si>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</si>
  <si>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</si>
  <si>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</si>
  <si>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</si>
  <si>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</si>
  <si>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</si>
  <si>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</si>
  <si>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</si>
  <si>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</si>
  <si>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</si>
  <si>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</si>
  <si>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</si>
  <si>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</si>
  <si>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</si>
  <si>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</si>
  <si>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</si>
  <si>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</si>
  <si>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</si>
  <si>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</si>
  <si>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</si>
  <si>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</si>
  <si>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</si>
  <si>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</si>
  <si>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</si>
  <si>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</si>
  <si>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</si>
  <si>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</si>
  <si>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</si>
  <si>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</si>
  <si>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</si>
  <si>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</si>
  <si>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</si>
  <si>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</si>
  <si>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</si>
  <si>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</si>
  <si>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</si>
  <si>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</si>
  <si>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</si>
  <si>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</si>
  <si>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</si>
  <si>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</si>
  <si>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</si>
  <si>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</si>
  <si>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</si>
  <si>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</si>
  <si>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</si>
  <si>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</si>
  <si>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</si>
  <si>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</si>
  <si>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</si>
  <si>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</si>
  <si>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</si>
  <si>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</si>
  <si>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</si>
  <si>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</si>
  <si>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</si>
  <si>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</si>
  <si>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</si>
  <si>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</si>
  <si>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</si>
  <si>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</si>
  <si>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</si>
  <si>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</si>
  <si>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</si>
  <si>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</si>
  <si>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</si>
  <si>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</si>
  <si>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</si>
  <si>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</si>
  <si>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</si>
  <si>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</si>
  <si>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</si>
  <si>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</si>
  <si>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</si>
  <si>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</si>
  <si>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</si>
  <si>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</si>
  <si>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</si>
  <si>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</si>
  <si>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</si>
  <si>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</si>
  <si>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</si>
  <si>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</si>
  <si>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</si>
  <si>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</si>
  <si>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</si>
  <si>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</si>
  <si>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</si>
  <si>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</si>
  <si>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</si>
  <si>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</si>
  <si>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</si>
  <si>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</si>
  <si>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</si>
  <si>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</si>
  <si>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</si>
  <si>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</si>
  <si>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</si>
  <si>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</si>
  <si>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</si>
  <si>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</si>
  <si>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</si>
  <si>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</si>
  <si>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</si>
  <si>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</si>
  <si>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</si>
  <si>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</si>
  <si>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</si>
  <si>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</si>
  <si>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</si>
  <si>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</si>
  <si>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</si>
  <si>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</si>
  <si>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</si>
  <si>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</si>
  <si>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</si>
  <si>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</si>
  <si>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</si>
  <si>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</si>
  <si>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</si>
  <si>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</si>
  <si>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</si>
  <si>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</si>
  <si>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</si>
  <si>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</si>
  <si>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</si>
  <si>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</si>
  <si>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</si>
  <si>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</si>
  <si>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</si>
  <si>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</si>
  <si>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</si>
  <si>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</si>
  <si>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</si>
  <si>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</si>
  <si>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</si>
  <si>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</si>
  <si>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</si>
  <si>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</si>
  <si>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</si>
  <si>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</si>
  <si>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</si>
  <si>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</si>
  <si>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</si>
  <si>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</si>
  <si>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</si>
  <si>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</si>
  <si>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</si>
  <si>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</si>
  <si>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</si>
  <si>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</si>
  <si>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</si>
  <si>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72025</t>
  </si>
  <si>
    <t>NEERPELT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</si>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</sst>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141026.80052339553</c:v>
                </c:pt>
                <c:pt idx="1">
                  <c:v>36010.337390859713</c:v>
                </c:pt>
                <c:pt idx="2">
                  <c:v>1145.1780000000001</c:v>
                </c:pt>
                <c:pt idx="3">
                  <c:v>8879.3341768415503</c:v>
                </c:pt>
                <c:pt idx="4">
                  <c:v>4182.280590227937</c:v>
                </c:pt>
                <c:pt idx="5">
                  <c:v>55572.211315256704</c:v>
                </c:pt>
                <c:pt idx="6">
                  <c:v>1687.1538914569717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141026.80052339553</c:v>
                </c:pt>
                <c:pt idx="1">
                  <c:v>36010.337390859713</c:v>
                </c:pt>
                <c:pt idx="2">
                  <c:v>1145.1780000000001</c:v>
                </c:pt>
                <c:pt idx="3">
                  <c:v>8879.3341768415503</c:v>
                </c:pt>
                <c:pt idx="4">
                  <c:v>4182.280590227937</c:v>
                </c:pt>
                <c:pt idx="5">
                  <c:v>55572.211315256704</c:v>
                </c:pt>
                <c:pt idx="6">
                  <c:v>1687.1538914569717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25195.590452183547</c:v>
                </c:pt>
                <c:pt idx="1">
                  <c:v>6831.1681686375941</c:v>
                </c:pt>
                <c:pt idx="2">
                  <c:v>216.4152538879149</c:v>
                </c:pt>
                <c:pt idx="3">
                  <c:v>2213.7875058976738</c:v>
                </c:pt>
                <c:pt idx="4">
                  <c:v>819.58613397603699</c:v>
                </c:pt>
                <c:pt idx="5">
                  <c:v>13895.526633671518</c:v>
                </c:pt>
                <c:pt idx="6">
                  <c:v>426.26038112984827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38240"/>
      </c:barChart>
      <c:catAx>
        <c:axId val="156932352"/>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25195.590452183547</c:v>
                </c:pt>
                <c:pt idx="1">
                  <c:v>6831.1681686375941</c:v>
                </c:pt>
                <c:pt idx="2">
                  <c:v>216.4152538879149</c:v>
                </c:pt>
                <c:pt idx="3">
                  <c:v>2213.7875058976738</c:v>
                </c:pt>
                <c:pt idx="4">
                  <c:v>819.58613397603699</c:v>
                </c:pt>
                <c:pt idx="5">
                  <c:v>13895.526633671518</c:v>
                </c:pt>
                <c:pt idx="6">
                  <c:v>426.26038112984827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72025</v>
      </c>
      <c r="B6" s="415"/>
      <c r="C6" s="416"/>
    </row>
    <row r="7" spans="1:7" s="413" customFormat="1" ht="15.75" customHeight="1">
      <c r="A7" s="417" t="str">
        <f>txtMunicipality</f>
        <v>NEERPELT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7006</v>
      </c>
      <c r="C9" s="342">
        <v>6883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1727.19</v>
      </c>
    </row>
    <row r="15" spans="1:6">
      <c r="A15" s="348" t="s">
        <v>184</v>
      </c>
      <c r="B15" s="334">
        <v>1835</v>
      </c>
    </row>
    <row r="16" spans="1:6">
      <c r="A16" s="348" t="s">
        <v>6</v>
      </c>
      <c r="B16" s="334">
        <v>1714</v>
      </c>
    </row>
    <row r="17" spans="1:6">
      <c r="A17" s="348" t="s">
        <v>7</v>
      </c>
      <c r="B17" s="334">
        <v>188</v>
      </c>
    </row>
    <row r="18" spans="1:6">
      <c r="A18" s="348" t="s">
        <v>8</v>
      </c>
      <c r="B18" s="334">
        <v>944</v>
      </c>
    </row>
    <row r="19" spans="1:6">
      <c r="A19" s="348" t="s">
        <v>9</v>
      </c>
      <c r="B19" s="334">
        <v>942</v>
      </c>
    </row>
    <row r="20" spans="1:6">
      <c r="A20" s="348" t="s">
        <v>10</v>
      </c>
      <c r="B20" s="334">
        <v>498</v>
      </c>
    </row>
    <row r="21" spans="1:6">
      <c r="A21" s="348" t="s">
        <v>11</v>
      </c>
      <c r="B21" s="334">
        <v>3367</v>
      </c>
    </row>
    <row r="22" spans="1:6">
      <c r="A22" s="348" t="s">
        <v>12</v>
      </c>
      <c r="B22" s="334">
        <v>9685</v>
      </c>
    </row>
    <row r="23" spans="1:6">
      <c r="A23" s="348" t="s">
        <v>13</v>
      </c>
      <c r="B23" s="334">
        <v>249</v>
      </c>
    </row>
    <row r="24" spans="1:6">
      <c r="A24" s="348" t="s">
        <v>14</v>
      </c>
      <c r="B24" s="334">
        <v>10</v>
      </c>
    </row>
    <row r="25" spans="1:6">
      <c r="A25" s="348" t="s">
        <v>15</v>
      </c>
      <c r="B25" s="334">
        <v>997</v>
      </c>
    </row>
    <row r="26" spans="1:6">
      <c r="A26" s="348" t="s">
        <v>16</v>
      </c>
      <c r="B26" s="334">
        <v>155</v>
      </c>
    </row>
    <row r="27" spans="1:6">
      <c r="A27" s="348" t="s">
        <v>17</v>
      </c>
      <c r="B27" s="334">
        <v>4</v>
      </c>
    </row>
    <row r="28" spans="1:6" s="356" customFormat="1">
      <c r="A28" s="355" t="s">
        <v>18</v>
      </c>
      <c r="B28" s="355">
        <v>170698</v>
      </c>
    </row>
    <row r="29" spans="1:6">
      <c r="A29" s="355" t="s">
        <v>744</v>
      </c>
      <c r="B29" s="355">
        <v>82</v>
      </c>
      <c r="C29" s="356"/>
      <c r="D29" s="356"/>
      <c r="E29" s="356"/>
      <c r="F29" s="356"/>
    </row>
    <row r="30" spans="1:6">
      <c r="A30" s="341" t="s">
        <v>745</v>
      </c>
      <c r="B30" s="341">
        <v>35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4763</v>
      </c>
      <c r="D39" s="334">
        <v>74499018.700000003</v>
      </c>
      <c r="E39" s="334">
        <v>7115</v>
      </c>
      <c r="F39" s="334">
        <v>25067975.949999999</v>
      </c>
    </row>
    <row r="40" spans="1:6">
      <c r="A40" s="348" t="s">
        <v>30</v>
      </c>
      <c r="B40" s="348" t="s">
        <v>29</v>
      </c>
      <c r="C40" s="334">
        <v>0</v>
      </c>
      <c r="D40" s="334">
        <v>0</v>
      </c>
      <c r="E40" s="334">
        <v>0</v>
      </c>
      <c r="F40" s="334">
        <v>0</v>
      </c>
    </row>
    <row r="41" spans="1:6">
      <c r="A41" s="348" t="s">
        <v>32</v>
      </c>
      <c r="B41" s="348" t="s">
        <v>33</v>
      </c>
      <c r="C41" s="334">
        <v>52</v>
      </c>
      <c r="D41" s="334">
        <v>1069055.25</v>
      </c>
      <c r="E41" s="334">
        <v>118</v>
      </c>
      <c r="F41" s="334">
        <v>1009052.6000000001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317745</v>
      </c>
      <c r="E44" s="334">
        <v>18</v>
      </c>
      <c r="F44" s="334">
        <v>220322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3</v>
      </c>
      <c r="D49" s="334">
        <v>102993</v>
      </c>
      <c r="E49" s="334">
        <v>3</v>
      </c>
      <c r="F49" s="334">
        <v>30308</v>
      </c>
    </row>
    <row r="50" spans="1:6">
      <c r="A50" s="348" t="s">
        <v>32</v>
      </c>
      <c r="B50" s="348" t="s">
        <v>41</v>
      </c>
      <c r="C50" s="334">
        <v>0</v>
      </c>
      <c r="D50" s="334">
        <v>0</v>
      </c>
      <c r="E50" s="334">
        <v>4</v>
      </c>
      <c r="F50" s="334">
        <v>95999</v>
      </c>
    </row>
    <row r="51" spans="1:6">
      <c r="A51" s="348" t="s">
        <v>42</v>
      </c>
      <c r="B51" s="348" t="s">
        <v>43</v>
      </c>
      <c r="C51" s="334">
        <v>15</v>
      </c>
      <c r="D51" s="334">
        <v>976543</v>
      </c>
      <c r="E51" s="334">
        <v>63</v>
      </c>
      <c r="F51" s="334">
        <v>1497784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1145178</v>
      </c>
    </row>
    <row r="55" spans="1:6">
      <c r="A55" s="348" t="s">
        <v>46</v>
      </c>
      <c r="B55" s="348" t="s">
        <v>29</v>
      </c>
      <c r="C55" s="334">
        <v>0</v>
      </c>
      <c r="D55" s="334">
        <v>0</v>
      </c>
      <c r="E55" s="334">
        <v>0</v>
      </c>
      <c r="F55" s="334">
        <v>0</v>
      </c>
    </row>
    <row r="56" spans="1:6">
      <c r="A56" s="348" t="s">
        <v>48</v>
      </c>
      <c r="B56" s="348" t="s">
        <v>29</v>
      </c>
      <c r="C56" s="334">
        <v>5</v>
      </c>
      <c r="D56" s="334">
        <v>246296</v>
      </c>
      <c r="E56" s="334">
        <v>12</v>
      </c>
      <c r="F56" s="334">
        <v>660492</v>
      </c>
    </row>
    <row r="57" spans="1:6">
      <c r="A57" s="348" t="s">
        <v>49</v>
      </c>
      <c r="B57" s="348" t="s">
        <v>50</v>
      </c>
      <c r="C57" s="334">
        <v>41</v>
      </c>
      <c r="D57" s="334">
        <v>1013238</v>
      </c>
      <c r="E57" s="334">
        <v>90</v>
      </c>
      <c r="F57" s="334">
        <v>2448935</v>
      </c>
    </row>
    <row r="58" spans="1:6">
      <c r="A58" s="348" t="s">
        <v>49</v>
      </c>
      <c r="B58" s="348" t="s">
        <v>51</v>
      </c>
      <c r="C58" s="334">
        <v>39</v>
      </c>
      <c r="D58" s="334">
        <v>3408144</v>
      </c>
      <c r="E58" s="334">
        <v>51</v>
      </c>
      <c r="F58" s="334">
        <v>1278857</v>
      </c>
    </row>
    <row r="59" spans="1:6">
      <c r="A59" s="348" t="s">
        <v>49</v>
      </c>
      <c r="B59" s="348" t="s">
        <v>52</v>
      </c>
      <c r="C59" s="334">
        <v>87</v>
      </c>
      <c r="D59" s="334">
        <v>3431785</v>
      </c>
      <c r="E59" s="334">
        <v>166</v>
      </c>
      <c r="F59" s="334">
        <v>4878589.55</v>
      </c>
    </row>
    <row r="60" spans="1:6">
      <c r="A60" s="348" t="s">
        <v>49</v>
      </c>
      <c r="B60" s="348" t="s">
        <v>53</v>
      </c>
      <c r="C60" s="334">
        <v>36</v>
      </c>
      <c r="D60" s="334">
        <v>2343413</v>
      </c>
      <c r="E60" s="334">
        <v>53</v>
      </c>
      <c r="F60" s="334">
        <v>1666948</v>
      </c>
    </row>
    <row r="61" spans="1:6">
      <c r="A61" s="348" t="s">
        <v>49</v>
      </c>
      <c r="B61" s="348" t="s">
        <v>54</v>
      </c>
      <c r="C61" s="334">
        <v>143</v>
      </c>
      <c r="D61" s="334">
        <v>5124207.2</v>
      </c>
      <c r="E61" s="334">
        <v>281</v>
      </c>
      <c r="F61" s="334">
        <v>3586937.0999999996</v>
      </c>
    </row>
    <row r="62" spans="1:6">
      <c r="A62" s="348" t="s">
        <v>49</v>
      </c>
      <c r="B62" s="348" t="s">
        <v>55</v>
      </c>
      <c r="C62" s="334">
        <v>15</v>
      </c>
      <c r="D62" s="334">
        <v>2901706</v>
      </c>
      <c r="E62" s="334">
        <v>18</v>
      </c>
      <c r="F62" s="334">
        <v>720715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58599</v>
      </c>
      <c r="E68" s="334">
        <v>8</v>
      </c>
      <c r="F68" s="334">
        <v>84254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38406947</v>
      </c>
      <c r="E73" s="476">
        <v>38854571.112193324</v>
      </c>
    </row>
    <row r="74" spans="1:6">
      <c r="A74" s="348" t="s">
        <v>64</v>
      </c>
      <c r="B74" s="348" t="s">
        <v>657</v>
      </c>
      <c r="C74" s="1213" t="s">
        <v>659</v>
      </c>
      <c r="D74" s="476">
        <v>3747985.8338230643</v>
      </c>
      <c r="E74" s="476">
        <v>3800770.8510518023</v>
      </c>
    </row>
    <row r="75" spans="1:6">
      <c r="A75" s="348" t="s">
        <v>65</v>
      </c>
      <c r="B75" s="348" t="s">
        <v>656</v>
      </c>
      <c r="C75" s="1213" t="s">
        <v>660</v>
      </c>
      <c r="D75" s="476">
        <v>23416127</v>
      </c>
      <c r="E75" s="476">
        <v>23718035.638614967</v>
      </c>
    </row>
    <row r="76" spans="1:6">
      <c r="A76" s="348" t="s">
        <v>65</v>
      </c>
      <c r="B76" s="348" t="s">
        <v>657</v>
      </c>
      <c r="C76" s="1213" t="s">
        <v>661</v>
      </c>
      <c r="D76" s="476">
        <v>365793.83382306417</v>
      </c>
      <c r="E76" s="476">
        <v>375205.84012157499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457584.33235387166</v>
      </c>
      <c r="C83" s="476">
        <v>467902.36744317284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6259.7835471310082</v>
      </c>
    </row>
    <row r="92" spans="1:6">
      <c r="A92" s="341" t="s">
        <v>69</v>
      </c>
      <c r="B92" s="342">
        <v>974.76106008324086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26</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49931.70614929156</v>
      </c>
      <c r="C3" s="43" t="s">
        <v>170</v>
      </c>
      <c r="D3" s="43"/>
      <c r="E3" s="154"/>
      <c r="F3" s="43"/>
      <c r="G3" s="43"/>
      <c r="H3" s="43"/>
      <c r="I3" s="43"/>
      <c r="J3" s="43"/>
      <c r="K3" s="96"/>
    </row>
    <row r="4" spans="1:11">
      <c r="A4" s="383" t="s">
        <v>171</v>
      </c>
      <c r="B4" s="49">
        <f>IF(ISERROR('SEAP template'!B69),0,'SEAP template'!B69)</f>
        <v>7234.5446072142495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0.18897957687618422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1145.1780000000001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1145.1780000000001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0.18897957687618422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216.4152538879149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25067.97595</v>
      </c>
      <c r="C5" s="17">
        <f>IF(ISERROR('Eigen informatie GS &amp; warmtenet'!B57),0,'Eigen informatie GS &amp; warmtenet'!B57)</f>
        <v>0</v>
      </c>
      <c r="D5" s="30">
        <f>(SUM(HH_hh_gas_kWh,HH_rest_gas_kWh)/1000)*0.902</f>
        <v>67198.1148674</v>
      </c>
      <c r="E5" s="17">
        <f>B46*B57</f>
        <v>5725.0794957273702</v>
      </c>
      <c r="F5" s="17">
        <f>B51*B62</f>
        <v>16485.660933303207</v>
      </c>
      <c r="G5" s="18"/>
      <c r="H5" s="17"/>
      <c r="I5" s="17"/>
      <c r="J5" s="17">
        <f>B50*B61+C50*C61</f>
        <v>0</v>
      </c>
      <c r="K5" s="17"/>
      <c r="L5" s="17"/>
      <c r="M5" s="17"/>
      <c r="N5" s="17">
        <f>B48*B59+C48*C59</f>
        <v>18559.015729833925</v>
      </c>
      <c r="O5" s="17">
        <f>B69*B70*B71</f>
        <v>529.97</v>
      </c>
      <c r="P5" s="17">
        <f>B77*B78*B79/1000-B77*B78*B79/1000/B80</f>
        <v>1201.2</v>
      </c>
    </row>
    <row r="6" spans="1:16">
      <c r="A6" s="16" t="s">
        <v>621</v>
      </c>
      <c r="B6" s="843">
        <f>kWh_PV_kleiner_dan_10kW</f>
        <v>6259.7835471310082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31327.75949713101</v>
      </c>
      <c r="C8" s="21">
        <f>C5</f>
        <v>0</v>
      </c>
      <c r="D8" s="21">
        <f>D5</f>
        <v>67198.1148674</v>
      </c>
      <c r="E8" s="21">
        <f>E5</f>
        <v>5725.0794957273702</v>
      </c>
      <c r="F8" s="21">
        <f>F5</f>
        <v>16485.660933303207</v>
      </c>
      <c r="G8" s="21"/>
      <c r="H8" s="21"/>
      <c r="I8" s="21"/>
      <c r="J8" s="21">
        <f>J5</f>
        <v>0</v>
      </c>
      <c r="K8" s="21"/>
      <c r="L8" s="21">
        <f>L5</f>
        <v>0</v>
      </c>
      <c r="M8" s="21">
        <f>M5</f>
        <v>0</v>
      </c>
      <c r="N8" s="21">
        <f>N5</f>
        <v>18559.015729833925</v>
      </c>
      <c r="O8" s="21">
        <f>O5</f>
        <v>529.97</v>
      </c>
      <c r="P8" s="21">
        <f>P5</f>
        <v>1201.2</v>
      </c>
    </row>
    <row r="9" spans="1:16">
      <c r="B9" s="19"/>
      <c r="C9" s="19"/>
      <c r="D9" s="258"/>
      <c r="E9" s="19"/>
      <c r="F9" s="19"/>
      <c r="G9" s="19"/>
      <c r="H9" s="19"/>
      <c r="I9" s="19"/>
      <c r="J9" s="19"/>
      <c r="K9" s="19"/>
      <c r="L9" s="19"/>
      <c r="M9" s="19"/>
      <c r="N9" s="19"/>
      <c r="O9" s="19"/>
      <c r="P9" s="19"/>
    </row>
    <row r="10" spans="1:16">
      <c r="A10" s="24" t="s">
        <v>214</v>
      </c>
      <c r="B10" s="25">
        <f ca="1">'EF ele_warmte'!B12</f>
        <v>0.18897957687618422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5920.3067342466802</v>
      </c>
      <c r="C12" s="23">
        <f ca="1">C10*C8</f>
        <v>0</v>
      </c>
      <c r="D12" s="23">
        <f>D8*D10</f>
        <v>13574.019203214801</v>
      </c>
      <c r="E12" s="23">
        <f>E10*E8</f>
        <v>1299.5930455301132</v>
      </c>
      <c r="F12" s="23">
        <f>F10*F8</f>
        <v>4401.671469191956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7006</v>
      </c>
      <c r="C28" s="36"/>
      <c r="D28" s="228"/>
    </row>
    <row r="29" spans="1:7" s="15" customFormat="1">
      <c r="A29" s="230" t="s">
        <v>795</v>
      </c>
      <c r="B29" s="37">
        <f>SUM(HH_hh_gas_aantal,HH_rest_gas_aantal)</f>
        <v>4763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4763</v>
      </c>
      <c r="C32" s="167">
        <f>IF(ISERROR(B32/SUM($B$32,$B$34,$B$35,$B$36,$B$38,$B$39)*100),0,B32/SUM($B$32,$B$34,$B$35,$B$36,$B$38,$B$39)*100)</f>
        <v>68.601469105573969</v>
      </c>
      <c r="D32" s="233"/>
      <c r="G32" s="15"/>
    </row>
    <row r="33" spans="1:7">
      <c r="A33" s="171" t="s">
        <v>72</v>
      </c>
      <c r="B33" s="34" t="s">
        <v>111</v>
      </c>
      <c r="C33" s="167"/>
      <c r="D33" s="233"/>
      <c r="G33" s="15"/>
    </row>
    <row r="34" spans="1:7">
      <c r="A34" s="171" t="s">
        <v>73</v>
      </c>
      <c r="B34" s="33">
        <f>IF((($B$28-$B$32-$B$39-$B$77-$B$38)*C20/100)&lt;0,0,($B$28-$B$32-$B$39-$B$77-$B$38)*C20/100)</f>
        <v>270.3897435897436</v>
      </c>
      <c r="C34" s="167">
        <f>IF(ISERROR(B34/SUM($B$32,$B$34,$B$35,$B$36,$B$38,$B$39)*100),0,B34/SUM($B$32,$B$34,$B$35,$B$36,$B$38,$B$39)*100)</f>
        <v>3.8944223475405964</v>
      </c>
      <c r="D34" s="233"/>
      <c r="G34" s="15"/>
    </row>
    <row r="35" spans="1:7">
      <c r="A35" s="171" t="s">
        <v>74</v>
      </c>
      <c r="B35" s="33">
        <f>IF((($B$28-$B$32-$B$39-$B$77-$B$38)*C21/100)&lt;0,0,($B$28-$B$32-$B$39-$B$77-$B$38)*C21/100)</f>
        <v>1015.6102564102565</v>
      </c>
      <c r="C35" s="167">
        <f>IF(ISERROR(B35/SUM($B$32,$B$34,$B$35,$B$36,$B$38,$B$39)*100),0,B35/SUM($B$32,$B$34,$B$35,$B$36,$B$38,$B$39)*100)</f>
        <v>14.627830281006144</v>
      </c>
      <c r="D35" s="233"/>
      <c r="G35" s="15"/>
    </row>
    <row r="36" spans="1:7">
      <c r="A36" s="171" t="s">
        <v>75</v>
      </c>
      <c r="B36" s="33">
        <f>IF((($B$28-$B$32-$B$39-$B$77-$B$38)*C22/100)&lt;0,0,($B$28-$B$32-$B$39-$B$77-$B$38)*C22/100)</f>
        <v>257.2</v>
      </c>
      <c r="C36" s="167">
        <f>IF(ISERROR(B36/SUM($B$32,$B$34,$B$35,$B$36,$B$38,$B$39)*100),0,B36/SUM($B$32,$B$34,$B$35,$B$36,$B$38,$B$39)*100)</f>
        <v>3.7044505257093476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636.79999999999973</v>
      </c>
      <c r="C39" s="167">
        <f>IF(ISERROR(B39/SUM($B$32,$B$34,$B$35,$B$36,$B$38,$B$39)*100),0,B39/SUM($B$32,$B$34,$B$35,$B$36,$B$38,$B$39)*100)</f>
        <v>9.1718277401699506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4763</v>
      </c>
      <c r="C44" s="34" t="s">
        <v>111</v>
      </c>
      <c r="D44" s="174"/>
    </row>
    <row r="45" spans="1:7">
      <c r="A45" s="171" t="s">
        <v>72</v>
      </c>
      <c r="B45" s="33" t="str">
        <f t="shared" si="0"/>
        <v>-</v>
      </c>
      <c r="C45" s="34" t="s">
        <v>111</v>
      </c>
      <c r="D45" s="174"/>
    </row>
    <row r="46" spans="1:7">
      <c r="A46" s="171" t="s">
        <v>73</v>
      </c>
      <c r="B46" s="33">
        <f t="shared" si="0"/>
        <v>270.3897435897436</v>
      </c>
      <c r="C46" s="34" t="s">
        <v>111</v>
      </c>
      <c r="D46" s="174"/>
    </row>
    <row r="47" spans="1:7">
      <c r="A47" s="171" t="s">
        <v>74</v>
      </c>
      <c r="B47" s="33">
        <f t="shared" si="0"/>
        <v>1015.6102564102565</v>
      </c>
      <c r="C47" s="34" t="s">
        <v>111</v>
      </c>
      <c r="D47" s="174"/>
    </row>
    <row r="48" spans="1:7">
      <c r="A48" s="171" t="s">
        <v>75</v>
      </c>
      <c r="B48" s="33">
        <f t="shared" si="0"/>
        <v>257.2</v>
      </c>
      <c r="C48" s="33">
        <f>B48*10</f>
        <v>2572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636.79999999999973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14580.98165</v>
      </c>
      <c r="C5" s="17">
        <f>IF(ISERROR('Eigen informatie GS &amp; warmtenet'!B58),0,'Eigen informatie GS &amp; warmtenet'!B58)</f>
        <v>0</v>
      </c>
      <c r="D5" s="30">
        <f>SUM(D6:D12)</f>
        <v>16436.6888664</v>
      </c>
      <c r="E5" s="17">
        <f>SUM(E6:E12)</f>
        <v>214.71228141859544</v>
      </c>
      <c r="F5" s="17">
        <f>SUM(F6:F12)</f>
        <v>2646.7819085636629</v>
      </c>
      <c r="G5" s="18"/>
      <c r="H5" s="17"/>
      <c r="I5" s="17"/>
      <c r="J5" s="17">
        <f>SUM(J6:J12)</f>
        <v>5.3156779289862649E-2</v>
      </c>
      <c r="K5" s="17"/>
      <c r="L5" s="17"/>
      <c r="M5" s="17"/>
      <c r="N5" s="17">
        <f>SUM(N6:N12)</f>
        <v>2112.0528610314964</v>
      </c>
      <c r="O5" s="17">
        <f>B38*B39*B40</f>
        <v>0</v>
      </c>
      <c r="P5" s="17">
        <f>B46*B47*B48/1000-B46*B47*B48/1000/B49</f>
        <v>19.066666666666666</v>
      </c>
      <c r="R5" s="32"/>
    </row>
    <row r="6" spans="1:18">
      <c r="A6" s="32" t="s">
        <v>54</v>
      </c>
      <c r="B6" s="37">
        <f>B26</f>
        <v>3586.9370999999996</v>
      </c>
      <c r="C6" s="33"/>
      <c r="D6" s="37">
        <f>IF(ISERROR(TER_kantoor_gas_kWh/1000),0,TER_kantoor_gas_kWh/1000)*0.902</f>
        <v>4622.0348943999998</v>
      </c>
      <c r="E6" s="33">
        <f>$C$26*'E Balans VL '!I12/100/3.6*1000000</f>
        <v>2.2481728746210513E-2</v>
      </c>
      <c r="F6" s="33">
        <f>$C$26*('E Balans VL '!L12+'E Balans VL '!N12)/100/3.6*1000000</f>
        <v>539.01641754824891</v>
      </c>
      <c r="G6" s="34"/>
      <c r="H6" s="33"/>
      <c r="I6" s="33"/>
      <c r="J6" s="33">
        <f>$C$26*('E Balans VL '!D12+'E Balans VL '!E12)/100/3.6*1000000</f>
        <v>0</v>
      </c>
      <c r="K6" s="33"/>
      <c r="L6" s="33"/>
      <c r="M6" s="33"/>
      <c r="N6" s="33">
        <f>$C$26*'E Balans VL '!Y12/100/3.6*1000000</f>
        <v>3.430373514360586</v>
      </c>
      <c r="O6" s="33"/>
      <c r="P6" s="33"/>
      <c r="R6" s="32"/>
    </row>
    <row r="7" spans="1:18">
      <c r="A7" s="32" t="s">
        <v>53</v>
      </c>
      <c r="B7" s="37">
        <f t="shared" ref="B7:B12" si="0">B27</f>
        <v>1666.9480000000001</v>
      </c>
      <c r="C7" s="33"/>
      <c r="D7" s="37">
        <f>IF(ISERROR(TER_horeca_gas_kWh/1000),0,TER_horeca_gas_kWh/1000)*0.902</f>
        <v>2113.7585260000001</v>
      </c>
      <c r="E7" s="33">
        <f>$C$27*'E Balans VL '!I9/100/3.6*1000000</f>
        <v>23.870417699468064</v>
      </c>
      <c r="F7" s="33">
        <f>$C$27*('E Balans VL '!L9+'E Balans VL '!N9)/100/3.6*1000000</f>
        <v>211.09059486311739</v>
      </c>
      <c r="G7" s="34"/>
      <c r="H7" s="33"/>
      <c r="I7" s="33"/>
      <c r="J7" s="33">
        <f>$C$27*('E Balans VL '!D9+'E Balans VL '!E9)/100/3.6*1000000</f>
        <v>0</v>
      </c>
      <c r="K7" s="33"/>
      <c r="L7" s="33"/>
      <c r="M7" s="33"/>
      <c r="N7" s="33">
        <f>$C$27*'E Balans VL '!Y9/100/3.6*1000000</f>
        <v>0.47921079695146934</v>
      </c>
      <c r="O7" s="33"/>
      <c r="P7" s="33"/>
      <c r="R7" s="32"/>
    </row>
    <row r="8" spans="1:18">
      <c r="A8" s="6" t="s">
        <v>52</v>
      </c>
      <c r="B8" s="37">
        <f t="shared" si="0"/>
        <v>4878.5895499999997</v>
      </c>
      <c r="C8" s="33"/>
      <c r="D8" s="37">
        <f>IF(ISERROR(TER_handel_gas_kWh/1000),0,TER_handel_gas_kWh/1000)*0.902</f>
        <v>3095.4700699999999</v>
      </c>
      <c r="E8" s="33">
        <f>$C$28*'E Balans VL '!I13/100/3.6*1000000</f>
        <v>176.94584137778935</v>
      </c>
      <c r="F8" s="33">
        <f>$C$28*('E Balans VL '!L13+'E Balans VL '!N13)/100/3.6*1000000</f>
        <v>939.66574618987522</v>
      </c>
      <c r="G8" s="34"/>
      <c r="H8" s="33"/>
      <c r="I8" s="33"/>
      <c r="J8" s="33">
        <f>$C$28*('E Balans VL '!D13+'E Balans VL '!E13)/100/3.6*1000000</f>
        <v>0</v>
      </c>
      <c r="K8" s="33"/>
      <c r="L8" s="33"/>
      <c r="M8" s="33"/>
      <c r="N8" s="33">
        <f>$C$28*'E Balans VL '!Y13/100/3.6*1000000</f>
        <v>6.7579690401428572</v>
      </c>
      <c r="O8" s="33"/>
      <c r="P8" s="33"/>
      <c r="R8" s="32"/>
    </row>
    <row r="9" spans="1:18">
      <c r="A9" s="32" t="s">
        <v>51</v>
      </c>
      <c r="B9" s="37">
        <f t="shared" si="0"/>
        <v>1278.857</v>
      </c>
      <c r="C9" s="33"/>
      <c r="D9" s="37">
        <f>IF(ISERROR(TER_gezond_gas_kWh/1000),0,TER_gezond_gas_kWh/1000)*0.902</f>
        <v>3074.145888</v>
      </c>
      <c r="E9" s="33">
        <f>$C$29*'E Balans VL '!I10/100/3.6*1000000</f>
        <v>8.0069074631778203E-2</v>
      </c>
      <c r="F9" s="33">
        <f>$C$29*('E Balans VL '!L10+'E Balans VL '!N10)/100/3.6*1000000</f>
        <v>189.97810109874396</v>
      </c>
      <c r="G9" s="34"/>
      <c r="H9" s="33"/>
      <c r="I9" s="33"/>
      <c r="J9" s="33">
        <f>$C$29*('E Balans VL '!D10+'E Balans VL '!E10)/100/3.6*1000000</f>
        <v>0</v>
      </c>
      <c r="K9" s="33"/>
      <c r="L9" s="33"/>
      <c r="M9" s="33"/>
      <c r="N9" s="33">
        <f>$C$29*'E Balans VL '!Y10/100/3.6*1000000</f>
        <v>19.781483475152317</v>
      </c>
      <c r="O9" s="33"/>
      <c r="P9" s="33"/>
      <c r="R9" s="32"/>
    </row>
    <row r="10" spans="1:18">
      <c r="A10" s="32" t="s">
        <v>50</v>
      </c>
      <c r="B10" s="37">
        <f t="shared" si="0"/>
        <v>2448.9349999999999</v>
      </c>
      <c r="C10" s="33"/>
      <c r="D10" s="37">
        <f>IF(ISERROR(TER_ander_gas_kWh/1000),0,TER_ander_gas_kWh/1000)*0.902</f>
        <v>913.94067600000005</v>
      </c>
      <c r="E10" s="33">
        <f>$C$30*'E Balans VL '!I14/100/3.6*1000000</f>
        <v>2.9190430098497169</v>
      </c>
      <c r="F10" s="33">
        <f>$C$30*('E Balans VL '!L14+'E Balans VL '!N14)/100/3.6*1000000</f>
        <v>640.75026709902158</v>
      </c>
      <c r="G10" s="34"/>
      <c r="H10" s="33"/>
      <c r="I10" s="33"/>
      <c r="J10" s="33">
        <f>$C$30*('E Balans VL '!D14+'E Balans VL '!E14)/100/3.6*1000000</f>
        <v>5.3156779289862649E-2</v>
      </c>
      <c r="K10" s="33"/>
      <c r="L10" s="33"/>
      <c r="M10" s="33"/>
      <c r="N10" s="33">
        <f>$C$30*'E Balans VL '!Y14/100/3.6*1000000</f>
        <v>2079.5756774040483</v>
      </c>
      <c r="O10" s="33"/>
      <c r="P10" s="33"/>
      <c r="R10" s="32"/>
    </row>
    <row r="11" spans="1:18">
      <c r="A11" s="32" t="s">
        <v>55</v>
      </c>
      <c r="B11" s="37">
        <f t="shared" si="0"/>
        <v>720.71500000000003</v>
      </c>
      <c r="C11" s="33"/>
      <c r="D11" s="37">
        <f>IF(ISERROR(TER_onderwijs_gas_kWh/1000),0,TER_onderwijs_gas_kWh/1000)*0.902</f>
        <v>2617.338812</v>
      </c>
      <c r="E11" s="33">
        <f>$C$31*'E Balans VL '!I11/100/3.6*1000000</f>
        <v>10.874428528110302</v>
      </c>
      <c r="F11" s="33">
        <f>$C$31*('E Balans VL '!L11+'E Balans VL '!N11)/100/3.6*1000000</f>
        <v>126.28078176465566</v>
      </c>
      <c r="G11" s="34"/>
      <c r="H11" s="33"/>
      <c r="I11" s="33"/>
      <c r="J11" s="33">
        <f>$C$31*('E Balans VL '!D11+'E Balans VL '!E11)/100/3.6*1000000</f>
        <v>0</v>
      </c>
      <c r="K11" s="33"/>
      <c r="L11" s="33"/>
      <c r="M11" s="33"/>
      <c r="N11" s="33">
        <f>$C$31*'E Balans VL '!Y11/100/3.6*1000000</f>
        <v>2.0281468008408376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14580.98165</v>
      </c>
      <c r="C16" s="21">
        <f t="shared" ca="1" si="1"/>
        <v>0</v>
      </c>
      <c r="D16" s="21">
        <f t="shared" ca="1" si="1"/>
        <v>16436.6888664</v>
      </c>
      <c r="E16" s="21">
        <f t="shared" si="1"/>
        <v>214.71228141859544</v>
      </c>
      <c r="F16" s="21">
        <f t="shared" ca="1" si="1"/>
        <v>2646.7819085636629</v>
      </c>
      <c r="G16" s="21">
        <f t="shared" si="1"/>
        <v>0</v>
      </c>
      <c r="H16" s="21">
        <f t="shared" si="1"/>
        <v>0</v>
      </c>
      <c r="I16" s="21">
        <f t="shared" si="1"/>
        <v>0</v>
      </c>
      <c r="J16" s="21">
        <f t="shared" si="1"/>
        <v>5.3156779289862649E-2</v>
      </c>
      <c r="K16" s="21">
        <f t="shared" si="1"/>
        <v>0</v>
      </c>
      <c r="L16" s="21">
        <f t="shared" ca="1" si="1"/>
        <v>0</v>
      </c>
      <c r="M16" s="21">
        <f t="shared" si="1"/>
        <v>0</v>
      </c>
      <c r="N16" s="21">
        <f t="shared" ca="1" si="1"/>
        <v>2112.0528610314964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0.18897957687618422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2755.5077426564062</v>
      </c>
      <c r="C20" s="23">
        <f t="shared" ref="C20:P20" ca="1" si="2">C16*C18</f>
        <v>0</v>
      </c>
      <c r="D20" s="23">
        <f t="shared" ca="1" si="2"/>
        <v>3320.2111510128002</v>
      </c>
      <c r="E20" s="23">
        <f t="shared" si="2"/>
        <v>48.739687882021165</v>
      </c>
      <c r="F20" s="23">
        <f t="shared" ca="1" si="2"/>
        <v>706.69076958649805</v>
      </c>
      <c r="G20" s="23">
        <f t="shared" si="2"/>
        <v>0</v>
      </c>
      <c r="H20" s="23">
        <f t="shared" si="2"/>
        <v>0</v>
      </c>
      <c r="I20" s="23">
        <f t="shared" si="2"/>
        <v>0</v>
      </c>
      <c r="J20" s="23">
        <f t="shared" si="2"/>
        <v>1.8817499868611375E-2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3586.9370999999996</v>
      </c>
      <c r="C26" s="39">
        <f>IF(ISERROR(B26*3.6/1000000/'E Balans VL '!Z12*100),0,B26*3.6/1000000/'E Balans VL '!Z12*100)</f>
        <v>7.5822168126656125E-2</v>
      </c>
      <c r="D26" s="237" t="s">
        <v>754</v>
      </c>
      <c r="F26" s="6"/>
    </row>
    <row r="27" spans="1:18">
      <c r="A27" s="231" t="s">
        <v>53</v>
      </c>
      <c r="B27" s="33">
        <f>IF(ISERROR(TER_horeca_ele_kWh/1000),0,TER_horeca_ele_kWh/1000)</f>
        <v>1666.9480000000001</v>
      </c>
      <c r="C27" s="39">
        <f>IF(ISERROR(B27*3.6/1000000/'E Balans VL '!Z9*100),0,B27*3.6/1000000/'E Balans VL '!Z9*100)</f>
        <v>0.13140488953676172</v>
      </c>
      <c r="D27" s="237" t="s">
        <v>754</v>
      </c>
      <c r="F27" s="6"/>
    </row>
    <row r="28" spans="1:18">
      <c r="A28" s="171" t="s">
        <v>52</v>
      </c>
      <c r="B28" s="33">
        <f>IF(ISERROR(TER_handel_ele_kWh/1000),0,TER_handel_ele_kWh/1000)</f>
        <v>4878.5895499999997</v>
      </c>
      <c r="C28" s="39">
        <f>IF(ISERROR(B28*3.6/1000000/'E Balans VL '!Z13*100),0,B28*3.6/1000000/'E Balans VL '!Z13*100)</f>
        <v>0.1415963804515995</v>
      </c>
      <c r="D28" s="237" t="s">
        <v>754</v>
      </c>
      <c r="F28" s="6"/>
    </row>
    <row r="29" spans="1:18">
      <c r="A29" s="231" t="s">
        <v>51</v>
      </c>
      <c r="B29" s="33">
        <f>IF(ISERROR(TER_gezond_ele_kWh/1000),0,TER_gezond_ele_kWh/1000)</f>
        <v>1278.857</v>
      </c>
      <c r="C29" s="39">
        <f>IF(ISERROR(B29*3.6/1000000/'E Balans VL '!Z10*100),0,B29*3.6/1000000/'E Balans VL '!Z10*100)</f>
        <v>0.13468464148624262</v>
      </c>
      <c r="D29" s="237" t="s">
        <v>754</v>
      </c>
      <c r="F29" s="6"/>
    </row>
    <row r="30" spans="1:18">
      <c r="A30" s="231" t="s">
        <v>50</v>
      </c>
      <c r="B30" s="33">
        <f>IF(ISERROR(TER_ander_ele_kWh/1000),0,TER_ander_ele_kWh/1000)</f>
        <v>2448.9349999999999</v>
      </c>
      <c r="C30" s="39">
        <f>IF(ISERROR(B30*3.6/1000000/'E Balans VL '!Z14*100),0,B30*3.6/1000000/'E Balans VL '!Z14*100)</f>
        <v>0.18063397750603608</v>
      </c>
      <c r="D30" s="237" t="s">
        <v>754</v>
      </c>
      <c r="F30" s="6"/>
    </row>
    <row r="31" spans="1:18">
      <c r="A31" s="231" t="s">
        <v>55</v>
      </c>
      <c r="B31" s="33">
        <f>IF(ISERROR(TER_onderwijs_ele_kWh/1000),0,TER_onderwijs_ele_kWh/1000)</f>
        <v>720.71500000000003</v>
      </c>
      <c r="C31" s="39">
        <f>IF(ISERROR(B31*3.6/1000000/'E Balans VL '!Z11*100),0,B31*3.6/1000000/'E Balans VL '!Z11*100)</f>
        <v>0.17898729477881237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1355.6816000000001</v>
      </c>
      <c r="C5" s="17">
        <f>IF(ISERROR('Eigen informatie GS &amp; warmtenet'!B59),0,'Eigen informatie GS &amp; warmtenet'!B59)</f>
        <v>0</v>
      </c>
      <c r="D5" s="30">
        <f>SUM(D6:D15)</f>
        <v>1343.7935114999998</v>
      </c>
      <c r="E5" s="17">
        <f>SUM(E6:E15)</f>
        <v>297.28446643805199</v>
      </c>
      <c r="F5" s="17">
        <f>SUM(F6:F15)</f>
        <v>840.67466526131329</v>
      </c>
      <c r="G5" s="18"/>
      <c r="H5" s="17"/>
      <c r="I5" s="17"/>
      <c r="J5" s="17">
        <f>SUM(J6:J15)</f>
        <v>0</v>
      </c>
      <c r="K5" s="17"/>
      <c r="L5" s="17"/>
      <c r="M5" s="17"/>
      <c r="N5" s="17">
        <f>SUM(N6:N15)</f>
        <v>344.84634702857204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220.322</v>
      </c>
      <c r="C8" s="33"/>
      <c r="D8" s="37">
        <f>IF( ISERROR(IND_metaal_Gas_kWH/1000),0,IND_metaal_Gas_kWH/1000)*0.902</f>
        <v>286.60599000000002</v>
      </c>
      <c r="E8" s="33">
        <f>C30*'E Balans VL '!I18/100/3.6*1000000</f>
        <v>2.0256480009887707</v>
      </c>
      <c r="F8" s="33">
        <f>C30*'E Balans VL '!L18/100/3.6*1000000+C30*'E Balans VL '!N18/100/3.6*1000000</f>
        <v>20.658868338111162</v>
      </c>
      <c r="G8" s="34"/>
      <c r="H8" s="33"/>
      <c r="I8" s="33"/>
      <c r="J8" s="40">
        <f>C30*'E Balans VL '!D18/100/3.6*1000000+C30*'E Balans VL '!E18/100/3.6*1000000</f>
        <v>0</v>
      </c>
      <c r="K8" s="33"/>
      <c r="L8" s="33"/>
      <c r="M8" s="33"/>
      <c r="N8" s="33">
        <f>C30*'E Balans VL '!Y18/100/3.6*1000000</f>
        <v>3.1432574274375256</v>
      </c>
      <c r="O8" s="33"/>
      <c r="P8" s="33"/>
      <c r="R8" s="32"/>
    </row>
    <row r="9" spans="1:18">
      <c r="A9" s="6" t="s">
        <v>33</v>
      </c>
      <c r="B9" s="37">
        <f t="shared" si="0"/>
        <v>1009.0526000000001</v>
      </c>
      <c r="C9" s="33"/>
      <c r="D9" s="37">
        <f>IF( ISERROR(IND_andere_gas_kWh/1000),0,IND_andere_gas_kWh/1000)*0.902</f>
        <v>964.28783549999991</v>
      </c>
      <c r="E9" s="33">
        <f>C31*'E Balans VL '!I19/100/3.6*1000000</f>
        <v>294.96571891713302</v>
      </c>
      <c r="F9" s="33">
        <f>C31*'E Balans VL '!L19/100/3.6*1000000+C31*'E Balans VL '!N19/100/3.6*1000000</f>
        <v>810.85014236373297</v>
      </c>
      <c r="G9" s="34"/>
      <c r="H9" s="33"/>
      <c r="I9" s="33"/>
      <c r="J9" s="40">
        <f>C31*'E Balans VL '!D19/100/3.6*1000000+C31*'E Balans VL '!E19/100/3.6*1000000</f>
        <v>0</v>
      </c>
      <c r="K9" s="33"/>
      <c r="L9" s="33"/>
      <c r="M9" s="33"/>
      <c r="N9" s="33">
        <f>C31*'E Balans VL '!Y19/100/3.6*1000000</f>
        <v>333.40662833629</v>
      </c>
      <c r="O9" s="33"/>
      <c r="P9" s="33"/>
      <c r="R9" s="32"/>
    </row>
    <row r="10" spans="1:18">
      <c r="A10" s="6" t="s">
        <v>41</v>
      </c>
      <c r="B10" s="37">
        <f t="shared" si="0"/>
        <v>95.998999999999995</v>
      </c>
      <c r="C10" s="33"/>
      <c r="D10" s="37">
        <f>IF( ISERROR(IND_voed_gas_kWh/1000),0,IND_voed_gas_kWh/1000)*0.902</f>
        <v>0</v>
      </c>
      <c r="E10" s="33">
        <f>C32*'E Balans VL '!I20/100/3.6*1000000</f>
        <v>0.20308737298212437</v>
      </c>
      <c r="F10" s="33">
        <f>C32*'E Balans VL '!L20/100/3.6*1000000+C32*'E Balans VL '!N20/100/3.6*1000000</f>
        <v>6.1037144801029317</v>
      </c>
      <c r="G10" s="34"/>
      <c r="H10" s="33"/>
      <c r="I10" s="33"/>
      <c r="J10" s="40">
        <f>C32*'E Balans VL '!D20/100/3.6*1000000+C32*'E Balans VL '!E20/100/3.6*1000000</f>
        <v>0</v>
      </c>
      <c r="K10" s="33"/>
      <c r="L10" s="33"/>
      <c r="M10" s="33"/>
      <c r="N10" s="33">
        <f>C32*'E Balans VL '!Y20/100/3.6*1000000</f>
        <v>6.6248783412798877</v>
      </c>
      <c r="O10" s="33"/>
      <c r="P10" s="33"/>
      <c r="R10" s="32"/>
    </row>
    <row r="11" spans="1:18">
      <c r="A11" s="6" t="s">
        <v>40</v>
      </c>
      <c r="B11" s="37">
        <f t="shared" si="0"/>
        <v>30.308</v>
      </c>
      <c r="C11" s="33"/>
      <c r="D11" s="37">
        <f>IF( ISERROR(IND_textiel_gas_kWh/1000),0,IND_textiel_gas_kWh/1000)*0.902</f>
        <v>92.899686000000003</v>
      </c>
      <c r="E11" s="33">
        <f>C33*'E Balans VL '!I21/100/3.6*1000000</f>
        <v>9.0012146948060173E-2</v>
      </c>
      <c r="F11" s="33">
        <f>C33*'E Balans VL '!L21/100/3.6*1000000+C33*'E Balans VL '!N21/100/3.6*1000000</f>
        <v>3.061940079366305</v>
      </c>
      <c r="G11" s="34"/>
      <c r="H11" s="33"/>
      <c r="I11" s="33"/>
      <c r="J11" s="40">
        <f>C33*'E Balans VL '!D21/100/3.6*1000000+C33*'E Balans VL '!E21/100/3.6*1000000</f>
        <v>0</v>
      </c>
      <c r="K11" s="33"/>
      <c r="L11" s="33"/>
      <c r="M11" s="33"/>
      <c r="N11" s="33">
        <f>C33*'E Balans VL '!Y21/100/3.6*1000000</f>
        <v>1.6715829235646478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1355.6816000000001</v>
      </c>
      <c r="C18" s="21">
        <f>C5+C16</f>
        <v>0</v>
      </c>
      <c r="D18" s="21">
        <f>MAX((D5+D16),0)</f>
        <v>1343.7935114999998</v>
      </c>
      <c r="E18" s="21">
        <f>MAX((E5+E16),0)</f>
        <v>297.28446643805199</v>
      </c>
      <c r="F18" s="21">
        <f>MAX((F5+F16),0)</f>
        <v>840.67466526131329</v>
      </c>
      <c r="G18" s="21"/>
      <c r="H18" s="21"/>
      <c r="I18" s="21"/>
      <c r="J18" s="21">
        <f>MAX((J5+J16),0)</f>
        <v>0</v>
      </c>
      <c r="K18" s="21"/>
      <c r="L18" s="21">
        <f>MAX((L5+L16),0)</f>
        <v>0</v>
      </c>
      <c r="M18" s="21"/>
      <c r="N18" s="21">
        <f>MAX((N5+N16),0)</f>
        <v>344.84634702857204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0.18897957687618422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256.19613514682845</v>
      </c>
      <c r="C22" s="23">
        <f ca="1">C18*C20</f>
        <v>0</v>
      </c>
      <c r="D22" s="23">
        <f>D18*D20</f>
        <v>271.44628932299997</v>
      </c>
      <c r="E22" s="23">
        <f>E18*E20</f>
        <v>67.483573881437806</v>
      </c>
      <c r="F22" s="23">
        <f>F18*F20</f>
        <v>224.46013562477066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220.322</v>
      </c>
      <c r="C30" s="39">
        <f>IF(ISERROR(B30*3.6/1000000/'E Balans VL '!Z18*100),0,B30*3.6/1000000/'E Balans VL '!Z18*100)</f>
        <v>1.2486212682557979E-2</v>
      </c>
      <c r="D30" s="237" t="s">
        <v>754</v>
      </c>
    </row>
    <row r="31" spans="1:18">
      <c r="A31" s="6" t="s">
        <v>33</v>
      </c>
      <c r="B31" s="37">
        <f>IF( ISERROR(IND_ander_ele_kWh/1000),0,IND_ander_ele_kWh/1000)</f>
        <v>1009.0526000000001</v>
      </c>
      <c r="C31" s="39">
        <f>IF(ISERROR(B31*3.6/1000000/'E Balans VL '!Z19*100),0,B31*3.6/1000000/'E Balans VL '!Z19*100)</f>
        <v>4.576642431410155E-2</v>
      </c>
      <c r="D31" s="237" t="s">
        <v>754</v>
      </c>
    </row>
    <row r="32" spans="1:18">
      <c r="A32" s="171" t="s">
        <v>41</v>
      </c>
      <c r="B32" s="37">
        <f>IF( ISERROR(IND_voed_ele_kWh/1000),0,IND_voed_ele_kWh/1000)</f>
        <v>95.998999999999995</v>
      </c>
      <c r="C32" s="39">
        <f>IF(ISERROR(B32*3.6/1000000/'E Balans VL '!Z20*100),0,B32*3.6/1000000/'E Balans VL '!Z20*100)</f>
        <v>2.9696848686631247E-3</v>
      </c>
      <c r="D32" s="237" t="s">
        <v>754</v>
      </c>
    </row>
    <row r="33" spans="1:5">
      <c r="A33" s="171" t="s">
        <v>40</v>
      </c>
      <c r="B33" s="37">
        <f>IF( ISERROR(IND_textiel_ele_kWh/1000),0,IND_textiel_ele_kWh/1000)</f>
        <v>30.308</v>
      </c>
      <c r="C33" s="39">
        <f>IF(ISERROR(B33*3.6/1000000/'E Balans VL '!Z21*100),0,B33*3.6/1000000/'E Balans VL '!Z21*100)</f>
        <v>3.9518263094254864E-3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1497.7840000000001</v>
      </c>
      <c r="C5" s="17">
        <f>'Eigen informatie GS &amp; warmtenet'!B60</f>
        <v>0</v>
      </c>
      <c r="D5" s="30">
        <f>IF(ISERROR(SUM(LB_lb_gas_kWh,LB_rest_gas_kWh,onbekend_gas_kWh)/1000),0,SUM(LB_lb_gas_kWh,LB_rest_gas_kWh,onbekend_gas_kWh)/1000)*0.902</f>
        <v>880.84178600000007</v>
      </c>
      <c r="E5" s="17">
        <f>B17*'E Balans VL '!I25/3.6*1000000/100</f>
        <v>44.024446520361707</v>
      </c>
      <c r="F5" s="17">
        <f>B17*('E Balans VL '!L25/3.6*1000000+'E Balans VL '!N25/3.6*1000000)/100</f>
        <v>6239.6872080007824</v>
      </c>
      <c r="G5" s="18"/>
      <c r="H5" s="17"/>
      <c r="I5" s="17"/>
      <c r="J5" s="17">
        <f>('E Balans VL '!D25+'E Balans VL '!E25)/3.6*1000000*landbouw!B17/100</f>
        <v>216.99673632040768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1497.7840000000001</v>
      </c>
      <c r="C8" s="21">
        <f>C5+C6</f>
        <v>0</v>
      </c>
      <c r="D8" s="21">
        <f>MAX((D5+D6),0)</f>
        <v>880.84178600000007</v>
      </c>
      <c r="E8" s="21">
        <f>MAX((E5+E6),0)</f>
        <v>44.024446520361707</v>
      </c>
      <c r="F8" s="21">
        <f>MAX((F5+F6),0)</f>
        <v>6239.6872080007824</v>
      </c>
      <c r="G8" s="21"/>
      <c r="H8" s="21"/>
      <c r="I8" s="21"/>
      <c r="J8" s="21">
        <f>MAX((J5+J6),0)</f>
        <v>216.99673632040768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0.18897957687618422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283.0505865719187</v>
      </c>
      <c r="C12" s="23">
        <f ca="1">C8*C10</f>
        <v>0</v>
      </c>
      <c r="D12" s="23">
        <f>D8*D10</f>
        <v>177.93004077200001</v>
      </c>
      <c r="E12" s="23">
        <f>E8*E10</f>
        <v>9.9935493601221079</v>
      </c>
      <c r="F12" s="23">
        <f>F8*F10</f>
        <v>1665.996484536209</v>
      </c>
      <c r="G12" s="23"/>
      <c r="H12" s="23"/>
      <c r="I12" s="23"/>
      <c r="J12" s="23">
        <f>J8*J10</f>
        <v>76.816844657424312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0.21254024875399044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404.15990389554725</v>
      </c>
      <c r="C26" s="247">
        <f>B26*'GWP N2O_CH4'!B5</f>
        <v>8487.3579818064918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149.78320129997826</v>
      </c>
      <c r="C27" s="247">
        <f>B27*'GWP N2O_CH4'!B5</f>
        <v>3145.4472272995436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6.1131705685506859</v>
      </c>
      <c r="C28" s="247">
        <f>B28*'GWP N2O_CH4'!B4</f>
        <v>1895.0828762507126</v>
      </c>
      <c r="D28" s="50"/>
    </row>
    <row r="29" spans="1:4">
      <c r="A29" s="41" t="s">
        <v>277</v>
      </c>
      <c r="B29" s="247">
        <f>B34*'ha_N2O bodem landbouw'!B4</f>
        <v>11.2375133306014</v>
      </c>
      <c r="C29" s="247">
        <f>B29*'GWP N2O_CH4'!B4</f>
        <v>3483.6291324864342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2.5643618158494872E-3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8.7557047777965221E-5</v>
      </c>
      <c r="C5" s="463" t="s">
        <v>211</v>
      </c>
      <c r="D5" s="448">
        <f>SUM(D6:D11)</f>
        <v>3.4000995322232665E-4</v>
      </c>
      <c r="E5" s="448">
        <f>SUM(E6:E11)</f>
        <v>4.4665031415865876E-4</v>
      </c>
      <c r="F5" s="461" t="s">
        <v>211</v>
      </c>
      <c r="G5" s="448">
        <f>SUM(G6:G11)</f>
        <v>0.15111578784522717</v>
      </c>
      <c r="H5" s="448">
        <f>SUM(H6:H11)</f>
        <v>3.8109889159981002E-2</v>
      </c>
      <c r="I5" s="463" t="s">
        <v>211</v>
      </c>
      <c r="J5" s="463" t="s">
        <v>211</v>
      </c>
      <c r="K5" s="463" t="s">
        <v>211</v>
      </c>
      <c r="L5" s="463" t="s">
        <v>211</v>
      </c>
      <c r="M5" s="448">
        <f>SUM(M6:M11)</f>
        <v>9.9600664145569669E-3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5.4393912756340419E-5</v>
      </c>
      <c r="C6" s="449"/>
      <c r="D6" s="962">
        <f>vkm_2011_GW_PW*SUMIFS(TableVerdeelsleutelVkm[CNG],TableVerdeelsleutelVkm[Voertuigtype],"Lichte voertuigen")*SUMIFS(TableECFTransport[EnergieConsumptieFactor (PJ per km)],TableECFTransport[Index],CONCATENATE($A6,"_CNG_CNG"))</f>
        <v>1.6315051900283437E-4</v>
      </c>
      <c r="E6" s="962">
        <f>vkm_2011_GW_PW*SUMIFS(TableVerdeelsleutelVkm[LPG],TableVerdeelsleutelVkm[Voertuigtype],"Lichte voertuigen")*SUMIFS(TableECFTransport[EnergieConsumptieFactor (PJ per km)],TableECFTransport[Index],CONCATENATE($A6,"_LPG_LPG"))</f>
        <v>2.2288704437497628E-4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5.7628372374450426E-2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1.8553248591364861E-2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3.9175681913025595E-3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3.5171283044167216E-2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1.0717617480909361E-5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2.0552929948343809E-3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3.3163135021624795E-5</v>
      </c>
      <c r="C8" s="449"/>
      <c r="D8" s="451">
        <f>vkm_2011_NGW_PW*SUMIFS(TableVerdeelsleutelVkm[CNG],TableVerdeelsleutelVkm[Voertuigtype],"Lichte voertuigen")*SUMIFS(TableECFTransport[EnergieConsumptieFactor (PJ per km)],TableECFTransport[Index],CONCATENATE($A8,"_CNG_CNG"))</f>
        <v>1.7685943421949231E-4</v>
      </c>
      <c r="E8" s="451">
        <f>vkm_2011_NGW_PW*SUMIFS(TableVerdeelsleutelVkm[LPG],TableVerdeelsleutelVkm[Voertuigtype],"Lichte voertuigen")*SUMIFS(TableECFTransport[EnergieConsumptieFactor (PJ per km)],TableECFTransport[Index],CONCATENATE($A8,"_LPG_LPG"))</f>
        <v>2.2376326978368251E-4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5.3914667710792369E-2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1.9544660287370133E-2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3.7300005769365821E-3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4.4014647158171554E-3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1.2626637650913315E-6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2.5720465148344372E-4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24.321402160545894</v>
      </c>
      <c r="C14" s="21"/>
      <c r="D14" s="21">
        <f t="shared" ref="D14:M14" si="0">((D5)*10^9/3600)+D12</f>
        <v>94.447209228424072</v>
      </c>
      <c r="E14" s="21">
        <f t="shared" si="0"/>
        <v>124.06953171073856</v>
      </c>
      <c r="F14" s="21"/>
      <c r="G14" s="21">
        <f t="shared" si="0"/>
        <v>41976.607734785328</v>
      </c>
      <c r="H14" s="21">
        <f t="shared" si="0"/>
        <v>10586.080322216945</v>
      </c>
      <c r="I14" s="21"/>
      <c r="J14" s="21"/>
      <c r="K14" s="21"/>
      <c r="L14" s="21"/>
      <c r="M14" s="21">
        <f t="shared" si="0"/>
        <v>2766.685115154713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0.18897957687618422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4.5962482893354757</v>
      </c>
      <c r="C18" s="23"/>
      <c r="D18" s="23">
        <f t="shared" ref="D18:M18" si="1">D14*D16</f>
        <v>19.078336264141665</v>
      </c>
      <c r="E18" s="23">
        <f t="shared" si="1"/>
        <v>28.163783698337653</v>
      </c>
      <c r="F18" s="23"/>
      <c r="G18" s="23">
        <f t="shared" si="1"/>
        <v>11207.754265187683</v>
      </c>
      <c r="H18" s="23">
        <f t="shared" si="1"/>
        <v>2635.9340002320196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5.7473309815260437E-3</v>
      </c>
      <c r="H50" s="321">
        <f t="shared" si="2"/>
        <v>0</v>
      </c>
      <c r="I50" s="321">
        <f t="shared" si="2"/>
        <v>0</v>
      </c>
      <c r="J50" s="321">
        <f t="shared" si="2"/>
        <v>0</v>
      </c>
      <c r="K50" s="321">
        <f t="shared" si="2"/>
        <v>0</v>
      </c>
      <c r="L50" s="321">
        <f t="shared" si="2"/>
        <v>0</v>
      </c>
      <c r="M50" s="321">
        <f t="shared" si="2"/>
        <v>3.2642302771905394E-4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5.7473309815260437E-3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3.2642302771905394E-4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1596.4808282016788</v>
      </c>
      <c r="H54" s="21">
        <f t="shared" si="3"/>
        <v>0</v>
      </c>
      <c r="I54" s="21">
        <f t="shared" si="3"/>
        <v>0</v>
      </c>
      <c r="J54" s="21">
        <f t="shared" si="3"/>
        <v>0</v>
      </c>
      <c r="K54" s="21">
        <f t="shared" si="3"/>
        <v>0</v>
      </c>
      <c r="L54" s="21">
        <f t="shared" si="3"/>
        <v>0</v>
      </c>
      <c r="M54" s="21">
        <f t="shared" si="3"/>
        <v>90.673063255292774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0.18897957687618422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426.26038112984827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7234.5446072142495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7234.5446072142495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15726.15965</v>
      </c>
      <c r="D10" s="718">
        <f ca="1">tertiair!C16</f>
        <v>0</v>
      </c>
      <c r="E10" s="718">
        <f ca="1">tertiair!D16</f>
        <v>16436.6888664</v>
      </c>
      <c r="F10" s="718">
        <f>tertiair!E16</f>
        <v>214.71228141859544</v>
      </c>
      <c r="G10" s="718">
        <f ca="1">tertiair!F16</f>
        <v>2646.7819085636629</v>
      </c>
      <c r="H10" s="718">
        <f>tertiair!G16</f>
        <v>0</v>
      </c>
      <c r="I10" s="718">
        <f>tertiair!H16</f>
        <v>0</v>
      </c>
      <c r="J10" s="718">
        <f>tertiair!I16</f>
        <v>0</v>
      </c>
      <c r="K10" s="718">
        <f>tertiair!J16</f>
        <v>5.3156779289862649E-2</v>
      </c>
      <c r="L10" s="718">
        <f>tertiair!K16</f>
        <v>0</v>
      </c>
      <c r="M10" s="718">
        <f ca="1">tertiair!L16</f>
        <v>0</v>
      </c>
      <c r="N10" s="718">
        <f>tertiair!M16</f>
        <v>0</v>
      </c>
      <c r="O10" s="718">
        <f ca="1">tertiair!N16</f>
        <v>2112.0528610314964</v>
      </c>
      <c r="P10" s="718">
        <f>tertiair!O16</f>
        <v>0</v>
      </c>
      <c r="Q10" s="719">
        <f>tertiair!P16</f>
        <v>19.066666666666666</v>
      </c>
      <c r="R10" s="721">
        <f ca="1">SUM(C10:Q10)</f>
        <v>37155.515390859713</v>
      </c>
      <c r="S10" s="67"/>
    </row>
    <row r="11" spans="1:19" s="474" customFormat="1">
      <c r="A11" s="870" t="s">
        <v>225</v>
      </c>
      <c r="B11" s="875"/>
      <c r="C11" s="718">
        <f>huishoudens!B8</f>
        <v>31327.75949713101</v>
      </c>
      <c r="D11" s="718">
        <f>huishoudens!C8</f>
        <v>0</v>
      </c>
      <c r="E11" s="718">
        <f>huishoudens!D8</f>
        <v>67198.1148674</v>
      </c>
      <c r="F11" s="718">
        <f>huishoudens!E8</f>
        <v>5725.0794957273702</v>
      </c>
      <c r="G11" s="718">
        <f>huishoudens!F8</f>
        <v>16485.660933303207</v>
      </c>
      <c r="H11" s="718">
        <f>huishoudens!G8</f>
        <v>0</v>
      </c>
      <c r="I11" s="718">
        <f>huishoudens!H8</f>
        <v>0</v>
      </c>
      <c r="J11" s="718">
        <f>huishoudens!I8</f>
        <v>0</v>
      </c>
      <c r="K11" s="718">
        <f>huishoudens!J8</f>
        <v>0</v>
      </c>
      <c r="L11" s="718">
        <f>huishoudens!K8</f>
        <v>0</v>
      </c>
      <c r="M11" s="718">
        <f>huishoudens!L8</f>
        <v>0</v>
      </c>
      <c r="N11" s="718">
        <f>huishoudens!M8</f>
        <v>0</v>
      </c>
      <c r="O11" s="718">
        <f>huishoudens!N8</f>
        <v>18559.015729833925</v>
      </c>
      <c r="P11" s="718">
        <f>huishoudens!O8</f>
        <v>529.97</v>
      </c>
      <c r="Q11" s="719">
        <f>huishoudens!P8</f>
        <v>1201.2</v>
      </c>
      <c r="R11" s="721">
        <f>SUM(C11:Q11)</f>
        <v>141026.80052339553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1355.6816000000001</v>
      </c>
      <c r="D13" s="718">
        <f>industrie!C18</f>
        <v>0</v>
      </c>
      <c r="E13" s="718">
        <f>industrie!D18</f>
        <v>1343.7935114999998</v>
      </c>
      <c r="F13" s="718">
        <f>industrie!E18</f>
        <v>297.28446643805199</v>
      </c>
      <c r="G13" s="718">
        <f>industrie!F18</f>
        <v>840.67466526131329</v>
      </c>
      <c r="H13" s="718">
        <f>industrie!G18</f>
        <v>0</v>
      </c>
      <c r="I13" s="718">
        <f>industrie!H18</f>
        <v>0</v>
      </c>
      <c r="J13" s="718">
        <f>industrie!I18</f>
        <v>0</v>
      </c>
      <c r="K13" s="718">
        <f>industrie!J18</f>
        <v>0</v>
      </c>
      <c r="L13" s="718">
        <f>industrie!K18</f>
        <v>0</v>
      </c>
      <c r="M13" s="718">
        <f>industrie!L18</f>
        <v>0</v>
      </c>
      <c r="N13" s="718">
        <f>industrie!M18</f>
        <v>0</v>
      </c>
      <c r="O13" s="718">
        <f>industrie!N18</f>
        <v>344.84634702857204</v>
      </c>
      <c r="P13" s="718">
        <f>industrie!O18</f>
        <v>0</v>
      </c>
      <c r="Q13" s="719">
        <f>industrie!P18</f>
        <v>0</v>
      </c>
      <c r="R13" s="721">
        <f>SUM(C13:Q13)</f>
        <v>4182.280590227937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48409.600747131015</v>
      </c>
      <c r="D15" s="723">
        <f t="shared" ref="D15:Q15" ca="1" si="0">SUM(D9:D14)</f>
        <v>0</v>
      </c>
      <c r="E15" s="723">
        <f t="shared" ca="1" si="0"/>
        <v>84978.597245299999</v>
      </c>
      <c r="F15" s="723">
        <f t="shared" si="0"/>
        <v>6237.076243584017</v>
      </c>
      <c r="G15" s="723">
        <f t="shared" ca="1" si="0"/>
        <v>19973.117507128183</v>
      </c>
      <c r="H15" s="723">
        <f t="shared" si="0"/>
        <v>0</v>
      </c>
      <c r="I15" s="723">
        <f t="shared" si="0"/>
        <v>0</v>
      </c>
      <c r="J15" s="723">
        <f t="shared" si="0"/>
        <v>0</v>
      </c>
      <c r="K15" s="723">
        <f t="shared" si="0"/>
        <v>5.3156779289862649E-2</v>
      </c>
      <c r="L15" s="723">
        <f t="shared" si="0"/>
        <v>0</v>
      </c>
      <c r="M15" s="723">
        <f t="shared" ca="1" si="0"/>
        <v>0</v>
      </c>
      <c r="N15" s="723">
        <f t="shared" si="0"/>
        <v>0</v>
      </c>
      <c r="O15" s="723">
        <f t="shared" ca="1" si="0"/>
        <v>21015.914937893995</v>
      </c>
      <c r="P15" s="723">
        <f t="shared" si="0"/>
        <v>529.97</v>
      </c>
      <c r="Q15" s="724">
        <f t="shared" si="0"/>
        <v>1220.2666666666667</v>
      </c>
      <c r="R15" s="725">
        <f ca="1">SUM(R9:R14)</f>
        <v>182364.5965044832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1596.4808282016788</v>
      </c>
      <c r="I18" s="718">
        <f>transport!H54</f>
        <v>0</v>
      </c>
      <c r="J18" s="718">
        <f>transport!I54</f>
        <v>0</v>
      </c>
      <c r="K18" s="718">
        <f>transport!J54</f>
        <v>0</v>
      </c>
      <c r="L18" s="718">
        <f>transport!K54</f>
        <v>0</v>
      </c>
      <c r="M18" s="718">
        <f>transport!L54</f>
        <v>0</v>
      </c>
      <c r="N18" s="718">
        <f>transport!M54</f>
        <v>90.673063255292774</v>
      </c>
      <c r="O18" s="718">
        <f>transport!N54</f>
        <v>0</v>
      </c>
      <c r="P18" s="718">
        <f>transport!O54</f>
        <v>0</v>
      </c>
      <c r="Q18" s="719">
        <f>transport!P54</f>
        <v>0</v>
      </c>
      <c r="R18" s="721">
        <f>SUM(C18:Q18)</f>
        <v>1687.1538914569717</v>
      </c>
      <c r="S18" s="67"/>
    </row>
    <row r="19" spans="1:19" s="474" customFormat="1" ht="15" thickBot="1">
      <c r="A19" s="870" t="s">
        <v>307</v>
      </c>
      <c r="B19" s="875"/>
      <c r="C19" s="727">
        <f>transport!B14</f>
        <v>24.321402160545894</v>
      </c>
      <c r="D19" s="727">
        <f>transport!C14</f>
        <v>0</v>
      </c>
      <c r="E19" s="727">
        <f>transport!D14</f>
        <v>94.447209228424072</v>
      </c>
      <c r="F19" s="727">
        <f>transport!E14</f>
        <v>124.06953171073856</v>
      </c>
      <c r="G19" s="727">
        <f>transport!F14</f>
        <v>0</v>
      </c>
      <c r="H19" s="727">
        <f>transport!G14</f>
        <v>41976.607734785328</v>
      </c>
      <c r="I19" s="727">
        <f>transport!H14</f>
        <v>10586.080322216945</v>
      </c>
      <c r="J19" s="727">
        <f>transport!I14</f>
        <v>0</v>
      </c>
      <c r="K19" s="727">
        <f>transport!J14</f>
        <v>0</v>
      </c>
      <c r="L19" s="727">
        <f>transport!K14</f>
        <v>0</v>
      </c>
      <c r="M19" s="727">
        <f>transport!L14</f>
        <v>0</v>
      </c>
      <c r="N19" s="727">
        <f>transport!M14</f>
        <v>2766.685115154713</v>
      </c>
      <c r="O19" s="727">
        <f>transport!N14</f>
        <v>0</v>
      </c>
      <c r="P19" s="727">
        <f>transport!O14</f>
        <v>0</v>
      </c>
      <c r="Q19" s="728">
        <f>transport!P14</f>
        <v>0</v>
      </c>
      <c r="R19" s="729">
        <f>SUM(C19:Q19)</f>
        <v>55572.211315256704</v>
      </c>
      <c r="S19" s="67"/>
    </row>
    <row r="20" spans="1:19" s="474" customFormat="1" ht="15.75" thickBot="1">
      <c r="A20" s="730" t="s">
        <v>230</v>
      </c>
      <c r="B20" s="878"/>
      <c r="C20" s="873">
        <f>SUM(C17:C19)</f>
        <v>24.321402160545894</v>
      </c>
      <c r="D20" s="731">
        <f t="shared" ref="D20:R20" si="1">SUM(D17:D19)</f>
        <v>0</v>
      </c>
      <c r="E20" s="731">
        <f t="shared" si="1"/>
        <v>94.447209228424072</v>
      </c>
      <c r="F20" s="731">
        <f t="shared" si="1"/>
        <v>124.06953171073856</v>
      </c>
      <c r="G20" s="731">
        <f t="shared" si="1"/>
        <v>0</v>
      </c>
      <c r="H20" s="731">
        <f t="shared" si="1"/>
        <v>43573.08856298701</v>
      </c>
      <c r="I20" s="731">
        <f t="shared" si="1"/>
        <v>10586.080322216945</v>
      </c>
      <c r="J20" s="731">
        <f t="shared" si="1"/>
        <v>0</v>
      </c>
      <c r="K20" s="731">
        <f t="shared" si="1"/>
        <v>0</v>
      </c>
      <c r="L20" s="731">
        <f t="shared" si="1"/>
        <v>0</v>
      </c>
      <c r="M20" s="731">
        <f t="shared" si="1"/>
        <v>0</v>
      </c>
      <c r="N20" s="731">
        <f t="shared" si="1"/>
        <v>2857.3581784100056</v>
      </c>
      <c r="O20" s="731">
        <f t="shared" si="1"/>
        <v>0</v>
      </c>
      <c r="P20" s="731">
        <f t="shared" si="1"/>
        <v>0</v>
      </c>
      <c r="Q20" s="732">
        <f t="shared" si="1"/>
        <v>0</v>
      </c>
      <c r="R20" s="733">
        <f t="shared" si="1"/>
        <v>57259.365206713672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1497.7840000000001</v>
      </c>
      <c r="D22" s="727">
        <f>+landbouw!C8</f>
        <v>0</v>
      </c>
      <c r="E22" s="727">
        <f>+landbouw!D8</f>
        <v>880.84178600000007</v>
      </c>
      <c r="F22" s="727">
        <f>+landbouw!E8</f>
        <v>44.024446520361707</v>
      </c>
      <c r="G22" s="727">
        <f>+landbouw!F8</f>
        <v>6239.6872080007824</v>
      </c>
      <c r="H22" s="727">
        <f>+landbouw!G8</f>
        <v>0</v>
      </c>
      <c r="I22" s="727">
        <f>+landbouw!H8</f>
        <v>0</v>
      </c>
      <c r="J22" s="727">
        <f>+landbouw!I8</f>
        <v>0</v>
      </c>
      <c r="K22" s="727">
        <f>+landbouw!J8</f>
        <v>216.99673632040768</v>
      </c>
      <c r="L22" s="727">
        <f>+landbouw!K8</f>
        <v>0</v>
      </c>
      <c r="M22" s="727">
        <f>+landbouw!L8</f>
        <v>0</v>
      </c>
      <c r="N22" s="727">
        <f>+landbouw!M8</f>
        <v>0</v>
      </c>
      <c r="O22" s="727">
        <f>+landbouw!N8</f>
        <v>0</v>
      </c>
      <c r="P22" s="727">
        <f>+landbouw!O8</f>
        <v>0</v>
      </c>
      <c r="Q22" s="728">
        <f>+landbouw!P8</f>
        <v>0</v>
      </c>
      <c r="R22" s="729">
        <f>SUM(C22:Q22)</f>
        <v>8879.3341768415503</v>
      </c>
      <c r="S22" s="67"/>
    </row>
    <row r="23" spans="1:19" s="474" customFormat="1" ht="17.25" thickTop="1" thickBot="1">
      <c r="A23" s="734" t="s">
        <v>116</v>
      </c>
      <c r="B23" s="864"/>
      <c r="C23" s="735">
        <f ca="1">C20+C15+C22</f>
        <v>49931.70614929156</v>
      </c>
      <c r="D23" s="735">
        <f t="shared" ref="D23:Q23" ca="1" si="2">D20+D15+D22</f>
        <v>0</v>
      </c>
      <c r="E23" s="735">
        <f t="shared" ca="1" si="2"/>
        <v>85953.886240528431</v>
      </c>
      <c r="F23" s="735">
        <f t="shared" si="2"/>
        <v>6405.1702218151167</v>
      </c>
      <c r="G23" s="735">
        <f t="shared" ca="1" si="2"/>
        <v>26212.804715128965</v>
      </c>
      <c r="H23" s="735">
        <f t="shared" si="2"/>
        <v>43573.08856298701</v>
      </c>
      <c r="I23" s="735">
        <f t="shared" si="2"/>
        <v>10586.080322216945</v>
      </c>
      <c r="J23" s="735">
        <f t="shared" si="2"/>
        <v>0</v>
      </c>
      <c r="K23" s="735">
        <f t="shared" si="2"/>
        <v>217.04989309969753</v>
      </c>
      <c r="L23" s="735">
        <f t="shared" si="2"/>
        <v>0</v>
      </c>
      <c r="M23" s="735">
        <f t="shared" ca="1" si="2"/>
        <v>0</v>
      </c>
      <c r="N23" s="735">
        <f t="shared" si="2"/>
        <v>2857.3581784100056</v>
      </c>
      <c r="O23" s="735">
        <f t="shared" ca="1" si="2"/>
        <v>21015.914937893995</v>
      </c>
      <c r="P23" s="735">
        <f t="shared" si="2"/>
        <v>529.97</v>
      </c>
      <c r="Q23" s="736">
        <f t="shared" si="2"/>
        <v>1220.2666666666667</v>
      </c>
      <c r="R23" s="737">
        <f ca="1">R20+R15+R22</f>
        <v>248503.29588803841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2971.922996544321</v>
      </c>
      <c r="D36" s="718">
        <f ca="1">tertiair!C20</f>
        <v>0</v>
      </c>
      <c r="E36" s="718">
        <f ca="1">tertiair!D20</f>
        <v>3320.2111510128002</v>
      </c>
      <c r="F36" s="718">
        <f>tertiair!E20</f>
        <v>48.739687882021165</v>
      </c>
      <c r="G36" s="718">
        <f ca="1">tertiair!F20</f>
        <v>706.69076958649805</v>
      </c>
      <c r="H36" s="718">
        <f>tertiair!G20</f>
        <v>0</v>
      </c>
      <c r="I36" s="718">
        <f>tertiair!H20</f>
        <v>0</v>
      </c>
      <c r="J36" s="718">
        <f>tertiair!I20</f>
        <v>0</v>
      </c>
      <c r="K36" s="718">
        <f>tertiair!J20</f>
        <v>1.8817499868611375E-2</v>
      </c>
      <c r="L36" s="718">
        <f>tertiair!K20</f>
        <v>0</v>
      </c>
      <c r="M36" s="718">
        <f ca="1">tertiair!L20</f>
        <v>0</v>
      </c>
      <c r="N36" s="718">
        <f>tertiair!M20</f>
        <v>0</v>
      </c>
      <c r="O36" s="718">
        <f ca="1">tertiair!N20</f>
        <v>0</v>
      </c>
      <c r="P36" s="718">
        <f>tertiair!O20</f>
        <v>0</v>
      </c>
      <c r="Q36" s="828">
        <f>tertiair!P20</f>
        <v>0</v>
      </c>
      <c r="R36" s="917">
        <f ca="1">SUM(C36:Q36)</f>
        <v>7047.5834225255085</v>
      </c>
    </row>
    <row r="37" spans="1:18">
      <c r="A37" s="885" t="s">
        <v>225</v>
      </c>
      <c r="B37" s="892"/>
      <c r="C37" s="718">
        <f ca="1">huishoudens!B12</f>
        <v>5920.3067342466802</v>
      </c>
      <c r="D37" s="718">
        <f ca="1">huishoudens!C12</f>
        <v>0</v>
      </c>
      <c r="E37" s="718">
        <f>huishoudens!D12</f>
        <v>13574.019203214801</v>
      </c>
      <c r="F37" s="718">
        <f>huishoudens!E12</f>
        <v>1299.5930455301132</v>
      </c>
      <c r="G37" s="718">
        <f>huishoudens!F12</f>
        <v>4401.671469191956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25195.590452183547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256.19613514682845</v>
      </c>
      <c r="D39" s="718">
        <f ca="1">industrie!C22</f>
        <v>0</v>
      </c>
      <c r="E39" s="718">
        <f>industrie!D22</f>
        <v>271.44628932299997</v>
      </c>
      <c r="F39" s="718">
        <f>industrie!E22</f>
        <v>67.483573881437806</v>
      </c>
      <c r="G39" s="718">
        <f>industrie!F22</f>
        <v>224.46013562477066</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819.58613397603699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9148.4258659378302</v>
      </c>
      <c r="D41" s="763">
        <f t="shared" ref="D41:R41" ca="1" si="4">SUM(D35:D40)</f>
        <v>0</v>
      </c>
      <c r="E41" s="763">
        <f t="shared" ca="1" si="4"/>
        <v>17165.676643550603</v>
      </c>
      <c r="F41" s="763">
        <f t="shared" si="4"/>
        <v>1415.8163072935722</v>
      </c>
      <c r="G41" s="763">
        <f t="shared" ca="1" si="4"/>
        <v>5332.8223744032248</v>
      </c>
      <c r="H41" s="763">
        <f t="shared" si="4"/>
        <v>0</v>
      </c>
      <c r="I41" s="763">
        <f t="shared" si="4"/>
        <v>0</v>
      </c>
      <c r="J41" s="763">
        <f t="shared" si="4"/>
        <v>0</v>
      </c>
      <c r="K41" s="763">
        <f t="shared" si="4"/>
        <v>1.8817499868611375E-2</v>
      </c>
      <c r="L41" s="763">
        <f t="shared" si="4"/>
        <v>0</v>
      </c>
      <c r="M41" s="763">
        <f t="shared" ca="1" si="4"/>
        <v>0</v>
      </c>
      <c r="N41" s="763">
        <f t="shared" si="4"/>
        <v>0</v>
      </c>
      <c r="O41" s="763">
        <f t="shared" ca="1" si="4"/>
        <v>0</v>
      </c>
      <c r="P41" s="763">
        <f t="shared" si="4"/>
        <v>0</v>
      </c>
      <c r="Q41" s="764">
        <f t="shared" si="4"/>
        <v>0</v>
      </c>
      <c r="R41" s="765">
        <f t="shared" ca="1" si="4"/>
        <v>33062.760008685094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426.26038112984827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426.26038112984827</v>
      </c>
    </row>
    <row r="45" spans="1:18" ht="15" thickBot="1">
      <c r="A45" s="888" t="s">
        <v>307</v>
      </c>
      <c r="B45" s="898"/>
      <c r="C45" s="727">
        <f ca="1">transport!B18</f>
        <v>4.5962482893354757</v>
      </c>
      <c r="D45" s="727">
        <f>transport!C18</f>
        <v>0</v>
      </c>
      <c r="E45" s="727">
        <f>transport!D18</f>
        <v>19.078336264141665</v>
      </c>
      <c r="F45" s="727">
        <f>transport!E18</f>
        <v>28.163783698337653</v>
      </c>
      <c r="G45" s="727">
        <f>transport!F18</f>
        <v>0</v>
      </c>
      <c r="H45" s="727">
        <f>transport!G18</f>
        <v>11207.754265187683</v>
      </c>
      <c r="I45" s="727">
        <f>transport!H18</f>
        <v>2635.9340002320196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13895.526633671518</v>
      </c>
    </row>
    <row r="46" spans="1:18" ht="15.75" thickBot="1">
      <c r="A46" s="886" t="s">
        <v>230</v>
      </c>
      <c r="B46" s="899"/>
      <c r="C46" s="763">
        <f t="shared" ref="C46:R46" ca="1" si="5">SUM(C43:C45)</f>
        <v>4.5962482893354757</v>
      </c>
      <c r="D46" s="763">
        <f t="shared" ca="1" si="5"/>
        <v>0</v>
      </c>
      <c r="E46" s="763">
        <f t="shared" si="5"/>
        <v>19.078336264141665</v>
      </c>
      <c r="F46" s="763">
        <f t="shared" si="5"/>
        <v>28.163783698337653</v>
      </c>
      <c r="G46" s="763">
        <f t="shared" si="5"/>
        <v>0</v>
      </c>
      <c r="H46" s="763">
        <f t="shared" si="5"/>
        <v>11634.014646317532</v>
      </c>
      <c r="I46" s="763">
        <f t="shared" si="5"/>
        <v>2635.9340002320196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14321.787014801366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283.0505865719187</v>
      </c>
      <c r="D48" s="718">
        <f ca="1">+landbouw!C12</f>
        <v>0</v>
      </c>
      <c r="E48" s="718">
        <f>+landbouw!D12</f>
        <v>177.93004077200001</v>
      </c>
      <c r="F48" s="718">
        <f>+landbouw!E12</f>
        <v>9.9935493601221079</v>
      </c>
      <c r="G48" s="718">
        <f>+landbouw!F12</f>
        <v>1665.996484536209</v>
      </c>
      <c r="H48" s="718">
        <f>+landbouw!G12</f>
        <v>0</v>
      </c>
      <c r="I48" s="718">
        <f>+landbouw!H12</f>
        <v>0</v>
      </c>
      <c r="J48" s="718">
        <f>+landbouw!I12</f>
        <v>0</v>
      </c>
      <c r="K48" s="718">
        <f>+landbouw!J12</f>
        <v>76.816844657424312</v>
      </c>
      <c r="L48" s="718">
        <f>+landbouw!K12</f>
        <v>0</v>
      </c>
      <c r="M48" s="718">
        <f>+landbouw!L12</f>
        <v>0</v>
      </c>
      <c r="N48" s="718">
        <f>+landbouw!M12</f>
        <v>0</v>
      </c>
      <c r="O48" s="718">
        <f>+landbouw!N12</f>
        <v>0</v>
      </c>
      <c r="P48" s="718">
        <f>+landbouw!O12</f>
        <v>0</v>
      </c>
      <c r="Q48" s="719">
        <f>+landbouw!P12</f>
        <v>0</v>
      </c>
      <c r="R48" s="761">
        <f ca="1">SUM(C48:Q48)</f>
        <v>2213.7875058976738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9436.0727007990845</v>
      </c>
      <c r="D53" s="773">
        <f t="shared" ref="D53:Q53" ca="1" si="6">D41+D46+D48</f>
        <v>0</v>
      </c>
      <c r="E53" s="773">
        <f t="shared" ca="1" si="6"/>
        <v>17362.685020586745</v>
      </c>
      <c r="F53" s="773">
        <f t="shared" si="6"/>
        <v>1453.9736403520321</v>
      </c>
      <c r="G53" s="773">
        <f t="shared" ca="1" si="6"/>
        <v>6998.818858939434</v>
      </c>
      <c r="H53" s="773">
        <f t="shared" si="6"/>
        <v>11634.014646317532</v>
      </c>
      <c r="I53" s="773">
        <f t="shared" si="6"/>
        <v>2635.9340002320196</v>
      </c>
      <c r="J53" s="773">
        <f t="shared" si="6"/>
        <v>0</v>
      </c>
      <c r="K53" s="773">
        <f t="shared" si="6"/>
        <v>76.83566215729293</v>
      </c>
      <c r="L53" s="773">
        <f t="shared" si="6"/>
        <v>0</v>
      </c>
      <c r="M53" s="773">
        <f t="shared" ca="1" si="6"/>
        <v>0</v>
      </c>
      <c r="N53" s="773">
        <f t="shared" si="6"/>
        <v>0</v>
      </c>
      <c r="O53" s="773">
        <f t="shared" ca="1" si="6"/>
        <v>0</v>
      </c>
      <c r="P53" s="773">
        <f>P41+P46+P48</f>
        <v>0</v>
      </c>
      <c r="Q53" s="774">
        <f t="shared" si="6"/>
        <v>0</v>
      </c>
      <c r="R53" s="775">
        <f ca="1">R41+R46+R48</f>
        <v>49598.334529384134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0.18897957687618422</v>
      </c>
      <c r="D55" s="836">
        <f t="shared" ca="1" si="7"/>
        <v>0</v>
      </c>
      <c r="E55" s="836">
        <f t="shared" ca="1" si="7"/>
        <v>0.20200000000000001</v>
      </c>
      <c r="F55" s="836">
        <f t="shared" si="7"/>
        <v>0.22700000000000009</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7234.5446072142495</v>
      </c>
      <c r="C66" s="795">
        <f>'lokale energieproductie'!B6</f>
        <v>7234.5446072142495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7234.5446072142495</v>
      </c>
      <c r="C69" s="803">
        <f>SUM(C64:C68)</f>
        <v>7234.5446072142495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31327.75949713101</v>
      </c>
      <c r="C4" s="478">
        <f>huishoudens!C8</f>
        <v>0</v>
      </c>
      <c r="D4" s="478">
        <f>huishoudens!D8</f>
        <v>67198.1148674</v>
      </c>
      <c r="E4" s="478">
        <f>huishoudens!E8</f>
        <v>5725.0794957273702</v>
      </c>
      <c r="F4" s="478">
        <f>huishoudens!F8</f>
        <v>16485.660933303207</v>
      </c>
      <c r="G4" s="478">
        <f>huishoudens!G8</f>
        <v>0</v>
      </c>
      <c r="H4" s="478">
        <f>huishoudens!H8</f>
        <v>0</v>
      </c>
      <c r="I4" s="478">
        <f>huishoudens!I8</f>
        <v>0</v>
      </c>
      <c r="J4" s="478">
        <f>huishoudens!J8</f>
        <v>0</v>
      </c>
      <c r="K4" s="478">
        <f>huishoudens!K8</f>
        <v>0</v>
      </c>
      <c r="L4" s="478">
        <f>huishoudens!L8</f>
        <v>0</v>
      </c>
      <c r="M4" s="478">
        <f>huishoudens!M8</f>
        <v>0</v>
      </c>
      <c r="N4" s="478">
        <f>huishoudens!N8</f>
        <v>18559.015729833925</v>
      </c>
      <c r="O4" s="478">
        <f>huishoudens!O8</f>
        <v>529.97</v>
      </c>
      <c r="P4" s="479">
        <f>huishoudens!P8</f>
        <v>1201.2</v>
      </c>
      <c r="Q4" s="480">
        <f>SUM(B4:P4)</f>
        <v>141026.80052339553</v>
      </c>
    </row>
    <row r="5" spans="1:17">
      <c r="A5" s="477" t="s">
        <v>156</v>
      </c>
      <c r="B5" s="478">
        <f ca="1">tertiair!B16</f>
        <v>14580.98165</v>
      </c>
      <c r="C5" s="478">
        <f ca="1">tertiair!C16</f>
        <v>0</v>
      </c>
      <c r="D5" s="478">
        <f ca="1">tertiair!D16</f>
        <v>16436.6888664</v>
      </c>
      <c r="E5" s="478">
        <f>tertiair!E16</f>
        <v>214.71228141859544</v>
      </c>
      <c r="F5" s="478">
        <f ca="1">tertiair!F16</f>
        <v>2646.7819085636629</v>
      </c>
      <c r="G5" s="478">
        <f>tertiair!G16</f>
        <v>0</v>
      </c>
      <c r="H5" s="478">
        <f>tertiair!H16</f>
        <v>0</v>
      </c>
      <c r="I5" s="478">
        <f>tertiair!I16</f>
        <v>0</v>
      </c>
      <c r="J5" s="478">
        <f>tertiair!J16</f>
        <v>5.3156779289862649E-2</v>
      </c>
      <c r="K5" s="478">
        <f>tertiair!K16</f>
        <v>0</v>
      </c>
      <c r="L5" s="478">
        <f ca="1">tertiair!L16</f>
        <v>0</v>
      </c>
      <c r="M5" s="478">
        <f>tertiair!M16</f>
        <v>0</v>
      </c>
      <c r="N5" s="478">
        <f ca="1">tertiair!N16</f>
        <v>2112.0528610314964</v>
      </c>
      <c r="O5" s="478">
        <f>tertiair!O16</f>
        <v>0</v>
      </c>
      <c r="P5" s="479">
        <f>tertiair!P16</f>
        <v>19.066666666666666</v>
      </c>
      <c r="Q5" s="477">
        <f t="shared" ref="Q5:Q13" ca="1" si="0">SUM(B5:P5)</f>
        <v>36010.337390859713</v>
      </c>
    </row>
    <row r="6" spans="1:17">
      <c r="A6" s="477" t="s">
        <v>194</v>
      </c>
      <c r="B6" s="478">
        <f>'openbare verlichting'!B8</f>
        <v>1145.1780000000001</v>
      </c>
      <c r="C6" s="478"/>
      <c r="D6" s="478"/>
      <c r="E6" s="478"/>
      <c r="F6" s="478"/>
      <c r="G6" s="478"/>
      <c r="H6" s="478"/>
      <c r="I6" s="478"/>
      <c r="J6" s="478"/>
      <c r="K6" s="478"/>
      <c r="L6" s="478"/>
      <c r="M6" s="478"/>
      <c r="N6" s="478"/>
      <c r="O6" s="478"/>
      <c r="P6" s="479"/>
      <c r="Q6" s="477">
        <f t="shared" si="0"/>
        <v>1145.1780000000001</v>
      </c>
    </row>
    <row r="7" spans="1:17">
      <c r="A7" s="477" t="s">
        <v>112</v>
      </c>
      <c r="B7" s="478">
        <f>landbouw!B8</f>
        <v>1497.7840000000001</v>
      </c>
      <c r="C7" s="478">
        <f>landbouw!C8</f>
        <v>0</v>
      </c>
      <c r="D7" s="478">
        <f>landbouw!D8</f>
        <v>880.84178600000007</v>
      </c>
      <c r="E7" s="478">
        <f>landbouw!E8</f>
        <v>44.024446520361707</v>
      </c>
      <c r="F7" s="478">
        <f>landbouw!F8</f>
        <v>6239.6872080007824</v>
      </c>
      <c r="G7" s="478">
        <f>landbouw!G8</f>
        <v>0</v>
      </c>
      <c r="H7" s="478">
        <f>landbouw!H8</f>
        <v>0</v>
      </c>
      <c r="I7" s="478">
        <f>landbouw!I8</f>
        <v>0</v>
      </c>
      <c r="J7" s="478">
        <f>landbouw!J8</f>
        <v>216.99673632040768</v>
      </c>
      <c r="K7" s="478">
        <f>landbouw!K8</f>
        <v>0</v>
      </c>
      <c r="L7" s="478">
        <f>landbouw!L8</f>
        <v>0</v>
      </c>
      <c r="M7" s="478">
        <f>landbouw!M8</f>
        <v>0</v>
      </c>
      <c r="N7" s="478">
        <f>landbouw!N8</f>
        <v>0</v>
      </c>
      <c r="O7" s="478">
        <f>landbouw!O8</f>
        <v>0</v>
      </c>
      <c r="P7" s="479">
        <f>landbouw!P8</f>
        <v>0</v>
      </c>
      <c r="Q7" s="477">
        <f t="shared" si="0"/>
        <v>8879.3341768415503</v>
      </c>
    </row>
    <row r="8" spans="1:17">
      <c r="A8" s="477" t="s">
        <v>635</v>
      </c>
      <c r="B8" s="478">
        <f>industrie!B18</f>
        <v>1355.6816000000001</v>
      </c>
      <c r="C8" s="478">
        <f>industrie!C18</f>
        <v>0</v>
      </c>
      <c r="D8" s="478">
        <f>industrie!D18</f>
        <v>1343.7935114999998</v>
      </c>
      <c r="E8" s="478">
        <f>industrie!E18</f>
        <v>297.28446643805199</v>
      </c>
      <c r="F8" s="478">
        <f>industrie!F18</f>
        <v>840.67466526131329</v>
      </c>
      <c r="G8" s="478">
        <f>industrie!G18</f>
        <v>0</v>
      </c>
      <c r="H8" s="478">
        <f>industrie!H18</f>
        <v>0</v>
      </c>
      <c r="I8" s="478">
        <f>industrie!I18</f>
        <v>0</v>
      </c>
      <c r="J8" s="478">
        <f>industrie!J18</f>
        <v>0</v>
      </c>
      <c r="K8" s="478">
        <f>industrie!K18</f>
        <v>0</v>
      </c>
      <c r="L8" s="478">
        <f>industrie!L18</f>
        <v>0</v>
      </c>
      <c r="M8" s="478">
        <f>industrie!M18</f>
        <v>0</v>
      </c>
      <c r="N8" s="478">
        <f>industrie!N18</f>
        <v>344.84634702857204</v>
      </c>
      <c r="O8" s="478">
        <f>industrie!O18</f>
        <v>0</v>
      </c>
      <c r="P8" s="479">
        <f>industrie!P18</f>
        <v>0</v>
      </c>
      <c r="Q8" s="477">
        <f t="shared" si="0"/>
        <v>4182.280590227937</v>
      </c>
    </row>
    <row r="9" spans="1:17" s="483" customFormat="1">
      <c r="A9" s="481" t="s">
        <v>561</v>
      </c>
      <c r="B9" s="482">
        <f>transport!B14</f>
        <v>24.321402160545894</v>
      </c>
      <c r="C9" s="482">
        <f>transport!C14</f>
        <v>0</v>
      </c>
      <c r="D9" s="482">
        <f>transport!D14</f>
        <v>94.447209228424072</v>
      </c>
      <c r="E9" s="482">
        <f>transport!E14</f>
        <v>124.06953171073856</v>
      </c>
      <c r="F9" s="482">
        <f>transport!F14</f>
        <v>0</v>
      </c>
      <c r="G9" s="482">
        <f>transport!G14</f>
        <v>41976.607734785328</v>
      </c>
      <c r="H9" s="482">
        <f>transport!H14</f>
        <v>10586.080322216945</v>
      </c>
      <c r="I9" s="482">
        <f>transport!I14</f>
        <v>0</v>
      </c>
      <c r="J9" s="482">
        <f>transport!J14</f>
        <v>0</v>
      </c>
      <c r="K9" s="482">
        <f>transport!K14</f>
        <v>0</v>
      </c>
      <c r="L9" s="482">
        <f>transport!L14</f>
        <v>0</v>
      </c>
      <c r="M9" s="482">
        <f>transport!M14</f>
        <v>2766.685115154713</v>
      </c>
      <c r="N9" s="482">
        <f>transport!N14</f>
        <v>0</v>
      </c>
      <c r="O9" s="482">
        <f>transport!O14</f>
        <v>0</v>
      </c>
      <c r="P9" s="482">
        <f>transport!P14</f>
        <v>0</v>
      </c>
      <c r="Q9" s="481">
        <f>SUM(B9:P9)</f>
        <v>55572.211315256704</v>
      </c>
    </row>
    <row r="10" spans="1:17">
      <c r="A10" s="477" t="s">
        <v>551</v>
      </c>
      <c r="B10" s="478">
        <f>transport!B54</f>
        <v>0</v>
      </c>
      <c r="C10" s="478">
        <f>transport!C54</f>
        <v>0</v>
      </c>
      <c r="D10" s="478">
        <f>transport!D54</f>
        <v>0</v>
      </c>
      <c r="E10" s="478">
        <f>transport!E54</f>
        <v>0</v>
      </c>
      <c r="F10" s="478">
        <f>transport!F54</f>
        <v>0</v>
      </c>
      <c r="G10" s="478">
        <f>transport!G54</f>
        <v>1596.4808282016788</v>
      </c>
      <c r="H10" s="478">
        <f>transport!H54</f>
        <v>0</v>
      </c>
      <c r="I10" s="478">
        <f>transport!I54</f>
        <v>0</v>
      </c>
      <c r="J10" s="478">
        <f>transport!J54</f>
        <v>0</v>
      </c>
      <c r="K10" s="478">
        <f>transport!K54</f>
        <v>0</v>
      </c>
      <c r="L10" s="478">
        <f>transport!L54</f>
        <v>0</v>
      </c>
      <c r="M10" s="478">
        <f>transport!M54</f>
        <v>90.673063255292774</v>
      </c>
      <c r="N10" s="478">
        <f>transport!N54</f>
        <v>0</v>
      </c>
      <c r="O10" s="478">
        <f>transport!O54</f>
        <v>0</v>
      </c>
      <c r="P10" s="479">
        <f>transport!P54</f>
        <v>0</v>
      </c>
      <c r="Q10" s="477">
        <f t="shared" si="0"/>
        <v>1687.1538914569717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49931.70614929156</v>
      </c>
      <c r="C14" s="488">
        <f t="shared" ref="C14:Q14" ca="1" si="1">SUM(C4:C13)</f>
        <v>0</v>
      </c>
      <c r="D14" s="488">
        <f t="shared" ca="1" si="1"/>
        <v>85953.886240528431</v>
      </c>
      <c r="E14" s="488">
        <f t="shared" si="1"/>
        <v>6405.1702218151167</v>
      </c>
      <c r="F14" s="488">
        <f t="shared" ca="1" si="1"/>
        <v>26212.804715128965</v>
      </c>
      <c r="G14" s="488">
        <f t="shared" si="1"/>
        <v>43573.08856298701</v>
      </c>
      <c r="H14" s="488">
        <f t="shared" si="1"/>
        <v>10586.080322216945</v>
      </c>
      <c r="I14" s="488">
        <f t="shared" si="1"/>
        <v>0</v>
      </c>
      <c r="J14" s="488">
        <f t="shared" si="1"/>
        <v>217.04989309969753</v>
      </c>
      <c r="K14" s="488">
        <f t="shared" si="1"/>
        <v>0</v>
      </c>
      <c r="L14" s="488">
        <f t="shared" ca="1" si="1"/>
        <v>0</v>
      </c>
      <c r="M14" s="488">
        <f t="shared" si="1"/>
        <v>2857.3581784100056</v>
      </c>
      <c r="N14" s="488">
        <f t="shared" ca="1" si="1"/>
        <v>21015.914937893995</v>
      </c>
      <c r="O14" s="488">
        <f t="shared" si="1"/>
        <v>529.97</v>
      </c>
      <c r="P14" s="489">
        <f t="shared" si="1"/>
        <v>1220.2666666666667</v>
      </c>
      <c r="Q14" s="489">
        <f t="shared" ca="1" si="1"/>
        <v>248503.29588803844</v>
      </c>
    </row>
    <row r="16" spans="1:17">
      <c r="A16" s="491" t="s">
        <v>556</v>
      </c>
      <c r="B16" s="841">
        <f ca="1">huishoudens!B10</f>
        <v>0.18897957687618422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5920.3067342466802</v>
      </c>
      <c r="C21" s="478">
        <f t="shared" ref="C21:C30" ca="1" si="3">C4*$C$16</f>
        <v>0</v>
      </c>
      <c r="D21" s="478">
        <f t="shared" ref="D21:D30" si="4">D4*$D$16</f>
        <v>13574.019203214801</v>
      </c>
      <c r="E21" s="478">
        <f t="shared" ref="E21:E30" si="5">E4*$E$16</f>
        <v>1299.5930455301132</v>
      </c>
      <c r="F21" s="478">
        <f t="shared" ref="F21:F30" si="6">F4*$F$16</f>
        <v>4401.671469191956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25195.590452183547</v>
      </c>
    </row>
    <row r="22" spans="1:17">
      <c r="A22" s="477" t="s">
        <v>156</v>
      </c>
      <c r="B22" s="478">
        <f t="shared" ca="1" si="2"/>
        <v>2755.5077426564062</v>
      </c>
      <c r="C22" s="478">
        <f t="shared" ca="1" si="3"/>
        <v>0</v>
      </c>
      <c r="D22" s="478">
        <f t="shared" ca="1" si="4"/>
        <v>3320.2111510128002</v>
      </c>
      <c r="E22" s="478">
        <f t="shared" si="5"/>
        <v>48.739687882021165</v>
      </c>
      <c r="F22" s="478">
        <f t="shared" ca="1" si="6"/>
        <v>706.69076958649805</v>
      </c>
      <c r="G22" s="478">
        <f t="shared" si="7"/>
        <v>0</v>
      </c>
      <c r="H22" s="478">
        <f t="shared" si="8"/>
        <v>0</v>
      </c>
      <c r="I22" s="478">
        <f t="shared" si="9"/>
        <v>0</v>
      </c>
      <c r="J22" s="478">
        <f t="shared" si="10"/>
        <v>1.8817499868611375E-2</v>
      </c>
      <c r="K22" s="478">
        <f t="shared" si="11"/>
        <v>0</v>
      </c>
      <c r="L22" s="478">
        <f t="shared" ca="1" si="12"/>
        <v>0</v>
      </c>
      <c r="M22" s="478">
        <f t="shared" si="13"/>
        <v>0</v>
      </c>
      <c r="N22" s="478">
        <f t="shared" ca="1" si="14"/>
        <v>0</v>
      </c>
      <c r="O22" s="478">
        <f t="shared" si="15"/>
        <v>0</v>
      </c>
      <c r="P22" s="479">
        <f t="shared" si="16"/>
        <v>0</v>
      </c>
      <c r="Q22" s="477">
        <f t="shared" ref="Q22:Q30" ca="1" si="17">SUM(B22:P22)</f>
        <v>6831.1681686375941</v>
      </c>
    </row>
    <row r="23" spans="1:17">
      <c r="A23" s="477" t="s">
        <v>194</v>
      </c>
      <c r="B23" s="478">
        <f t="shared" ca="1" si="2"/>
        <v>216.4152538879149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216.4152538879149</v>
      </c>
    </row>
    <row r="24" spans="1:17">
      <c r="A24" s="477" t="s">
        <v>112</v>
      </c>
      <c r="B24" s="478">
        <f t="shared" ca="1" si="2"/>
        <v>283.0505865719187</v>
      </c>
      <c r="C24" s="478">
        <f t="shared" ca="1" si="3"/>
        <v>0</v>
      </c>
      <c r="D24" s="478">
        <f t="shared" si="4"/>
        <v>177.93004077200001</v>
      </c>
      <c r="E24" s="478">
        <f t="shared" si="5"/>
        <v>9.9935493601221079</v>
      </c>
      <c r="F24" s="478">
        <f t="shared" si="6"/>
        <v>1665.996484536209</v>
      </c>
      <c r="G24" s="478">
        <f t="shared" si="7"/>
        <v>0</v>
      </c>
      <c r="H24" s="478">
        <f t="shared" si="8"/>
        <v>0</v>
      </c>
      <c r="I24" s="478">
        <f t="shared" si="9"/>
        <v>0</v>
      </c>
      <c r="J24" s="478">
        <f t="shared" si="10"/>
        <v>76.816844657424312</v>
      </c>
      <c r="K24" s="478">
        <f t="shared" si="11"/>
        <v>0</v>
      </c>
      <c r="L24" s="478">
        <f t="shared" si="12"/>
        <v>0</v>
      </c>
      <c r="M24" s="478">
        <f t="shared" si="13"/>
        <v>0</v>
      </c>
      <c r="N24" s="478">
        <f t="shared" si="14"/>
        <v>0</v>
      </c>
      <c r="O24" s="478">
        <f t="shared" si="15"/>
        <v>0</v>
      </c>
      <c r="P24" s="479">
        <f t="shared" si="16"/>
        <v>0</v>
      </c>
      <c r="Q24" s="477">
        <f t="shared" ca="1" si="17"/>
        <v>2213.7875058976738</v>
      </c>
    </row>
    <row r="25" spans="1:17">
      <c r="A25" s="477" t="s">
        <v>635</v>
      </c>
      <c r="B25" s="478">
        <f t="shared" ca="1" si="2"/>
        <v>256.19613514682845</v>
      </c>
      <c r="C25" s="478">
        <f t="shared" ca="1" si="3"/>
        <v>0</v>
      </c>
      <c r="D25" s="478">
        <f t="shared" si="4"/>
        <v>271.44628932299997</v>
      </c>
      <c r="E25" s="478">
        <f t="shared" si="5"/>
        <v>67.483573881437806</v>
      </c>
      <c r="F25" s="478">
        <f t="shared" si="6"/>
        <v>224.46013562477066</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819.58613397603699</v>
      </c>
    </row>
    <row r="26" spans="1:17" s="483" customFormat="1">
      <c r="A26" s="481" t="s">
        <v>561</v>
      </c>
      <c r="B26" s="835">
        <f t="shared" ca="1" si="2"/>
        <v>4.5962482893354757</v>
      </c>
      <c r="C26" s="482">
        <f t="shared" ca="1" si="3"/>
        <v>0</v>
      </c>
      <c r="D26" s="482">
        <f t="shared" si="4"/>
        <v>19.078336264141665</v>
      </c>
      <c r="E26" s="482">
        <f t="shared" si="5"/>
        <v>28.163783698337653</v>
      </c>
      <c r="F26" s="482">
        <f t="shared" si="6"/>
        <v>0</v>
      </c>
      <c r="G26" s="482">
        <f t="shared" si="7"/>
        <v>11207.754265187683</v>
      </c>
      <c r="H26" s="482">
        <f t="shared" si="8"/>
        <v>2635.9340002320196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13895.526633671518</v>
      </c>
    </row>
    <row r="27" spans="1:17">
      <c r="A27" s="477" t="s">
        <v>551</v>
      </c>
      <c r="B27" s="478">
        <f t="shared" ca="1" si="2"/>
        <v>0</v>
      </c>
      <c r="C27" s="478">
        <f t="shared" ca="1" si="3"/>
        <v>0</v>
      </c>
      <c r="D27" s="478">
        <f t="shared" si="4"/>
        <v>0</v>
      </c>
      <c r="E27" s="478">
        <f t="shared" si="5"/>
        <v>0</v>
      </c>
      <c r="F27" s="478">
        <f t="shared" si="6"/>
        <v>0</v>
      </c>
      <c r="G27" s="478">
        <f t="shared" si="7"/>
        <v>426.26038112984827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426.26038112984827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9436.0727007990845</v>
      </c>
      <c r="C31" s="488">
        <f t="shared" ca="1" si="18"/>
        <v>0</v>
      </c>
      <c r="D31" s="488">
        <f t="shared" ca="1" si="18"/>
        <v>17362.685020586745</v>
      </c>
      <c r="E31" s="488">
        <f t="shared" si="18"/>
        <v>1453.9736403520321</v>
      </c>
      <c r="F31" s="488">
        <f t="shared" ca="1" si="18"/>
        <v>6998.818858939434</v>
      </c>
      <c r="G31" s="488">
        <f t="shared" si="18"/>
        <v>11634.014646317532</v>
      </c>
      <c r="H31" s="488">
        <f t="shared" si="18"/>
        <v>2635.9340002320196</v>
      </c>
      <c r="I31" s="488">
        <f t="shared" si="18"/>
        <v>0</v>
      </c>
      <c r="J31" s="488">
        <f t="shared" si="18"/>
        <v>76.83566215729293</v>
      </c>
      <c r="K31" s="488">
        <f t="shared" si="18"/>
        <v>0</v>
      </c>
      <c r="L31" s="488">
        <f t="shared" ca="1" si="18"/>
        <v>0</v>
      </c>
      <c r="M31" s="488">
        <f t="shared" si="18"/>
        <v>0</v>
      </c>
      <c r="N31" s="488">
        <f t="shared" ca="1" si="18"/>
        <v>0</v>
      </c>
      <c r="O31" s="488">
        <f t="shared" si="18"/>
        <v>0</v>
      </c>
      <c r="P31" s="489">
        <f t="shared" si="18"/>
        <v>0</v>
      </c>
      <c r="Q31" s="489">
        <f t="shared" ca="1" si="18"/>
        <v>49598.334529384127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0.18897957687618422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0.18897957687618422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0.18897957687618422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2018-09-06T12:49:19Z</dcterms:modified>
</cp:coreProperties>
</file>