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<sst xmlns="http://schemas.openxmlformats.org/spreadsheetml/2006/main" count="1914" uniqueCount="809">
  <si>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</si>
  <si>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</si>
  <si>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</si>
  <si>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</si>
  <si>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</si>
  <si>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</si>
  <si>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</si>
  <si>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</si>
  <si>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</si>
  <si>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</si>
  <si>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</si>
  <si>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</si>
  <si>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</si>
  <si>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</si>
  <si>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</si>
  <si>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</si>
  <si>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</si>
  <si>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</si>
  <si>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</si>
  <si>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</si>
  <si>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</si>
  <si>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</si>
  <si>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</si>
  <si>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</si>
  <si>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</si>
  <si>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</si>
  <si>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</si>
  <si>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</si>
  <si>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</si>
  <si>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</si>
  <si>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</si>
  <si>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</si>
  <si>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</si>
  <si>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</si>
  <si>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</si>
  <si>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</si>
  <si>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</si>
  <si>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</si>
  <si>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</si>
  <si>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</si>
  <si>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</si>
  <si>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</si>
  <si>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</si>
  <si>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</si>
  <si>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</si>
  <si>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</si>
  <si>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</si>
  <si>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</si>
  <si>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</si>
  <si>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</si>
  <si>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</si>
  <si>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</si>
  <si>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</si>
  <si>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</si>
  <si>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</si>
  <si>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</si>
  <si>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</si>
  <si>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</si>
  <si>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</si>
  <si>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</si>
  <si>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</si>
  <si>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</si>
  <si>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</si>
  <si>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</si>
  <si>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</si>
  <si>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</si>
  <si>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</si>
  <si>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</si>
  <si>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</si>
  <si>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</si>
  <si>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</si>
  <si>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</si>
  <si>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</si>
  <si>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</si>
  <si>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</si>
  <si>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</si>
  <si>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</si>
  <si>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</si>
  <si>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</si>
  <si>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</si>
  <si>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</si>
  <si>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</si>
  <si>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</si>
  <si>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</si>
  <si>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</si>
  <si>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</si>
  <si>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</si>
  <si>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</si>
  <si>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</si>
  <si>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</si>
  <si>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</si>
  <si>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</si>
  <si>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</si>
  <si>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</si>
  <si>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</si>
  <si>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</si>
  <si>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</si>
  <si>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</si>
  <si>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</si>
  <si>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</si>
  <si>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</si>
  <si>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</si>
  <si>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</si>
  <si>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</si>
  <si>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</si>
  <si>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</si>
  <si>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</si>
  <si>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</si>
  <si>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</si>
  <si>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</si>
  <si>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</si>
  <si>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</si>
  <si>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</si>
  <si>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</si>
  <si>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</si>
  <si>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</si>
  <si>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</si>
  <si>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</si>
  <si>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</si>
  <si>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</si>
  <si>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</si>
  <si>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</si>
  <si>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</si>
  <si>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</si>
  <si>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</si>
  <si>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</si>
  <si>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</si>
  <si>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</si>
  <si>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</si>
  <si>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</si>
  <si>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</si>
  <si>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</si>
  <si>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</si>
  <si>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</si>
  <si>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</si>
  <si>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</si>
  <si>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</si>
  <si>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</si>
  <si>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</si>
  <si>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</si>
  <si>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</si>
  <si>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</si>
  <si>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</si>
  <si>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</si>
  <si>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</si>
  <si>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</si>
  <si>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</si>
  <si>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</si>
  <si>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</si>
  <si>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</si>
  <si>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</si>
  <si>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</si>
  <si>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</si>
  <si>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</si>
  <si>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</si>
  <si>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</si>
  <si>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</si>
  <si>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</si>
  <si>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</si>
  <si>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</si>
  <si>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</si>
  <si>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</si>
  <si>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</si>
  <si>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</si>
  <si>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</si>
  <si>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</si>
  <si>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</si>
  <si>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</si>
  <si>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</si>
  <si>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</si>
  <si>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</si>
  <si>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</si>
  <si>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</si>
  <si>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</si>
  <si>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</si>
  <si>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</si>
  <si>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</si>
  <si>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</si>
  <si>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</si>
  <si>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</si>
  <si>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</si>
  <si>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</si>
  <si>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</si>
  <si>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</si>
  <si>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</si>
  <si>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</si>
  <si>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</si>
  <si>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</si>
  <si>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</si>
  <si>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</si>
  <si>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</si>
  <si>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</si>
  <si>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</si>
  <si>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</si>
  <si>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</si>
  <si>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</si>
  <si>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</si>
  <si>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</si>
  <si>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</si>
  <si>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</si>
  <si>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</si>
  <si>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</si>
  <si>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</si>
  <si>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</si>
  <si>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</si>
  <si>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</si>
  <si>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</si>
  <si>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</si>
  <si>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</si>
  <si>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</si>
  <si>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</si>
  <si>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</si>
  <si>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</si>
  <si>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</si>
  <si>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</si>
  <si>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</si>
  <si>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</si>
  <si>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</si>
  <si>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</si>
  <si>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</si>
  <si>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</si>
  <si>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</si>
  <si>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</si>
  <si>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</si>
  <si>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</si>
  <si>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</si>
  <si>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</si>
  <si>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</si>
  <si>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</si>
  <si>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</si>
  <si>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</si>
  <si>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</si>
  <si>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</si>
  <si>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</si>
  <si>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</si>
  <si>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</si>
  <si>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</si>
  <si>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</si>
  <si>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</si>
  <si>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</si>
  <si>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</si>
  <si>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</si>
  <si>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</si>
  <si>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</si>
  <si>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</si>
  <si>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</si>
  <si>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</si>
  <si>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</si>
  <si>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</si>
  <si>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</si>
  <si>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</si>
  <si>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</si>
  <si>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</si>
  <si>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</si>
  <si>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</si>
  <si>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</si>
  <si>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</si>
  <si>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</si>
  <si>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</si>
  <si>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</si>
  <si>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</si>
  <si>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</si>
  <si>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</si>
  <si>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</si>
  <si>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</si>
  <si>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</si>
  <si>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</si>
  <si>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</si>
  <si>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</si>
  <si>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</si>
  <si>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</si>
  <si>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</si>
  <si>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</si>
  <si>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</si>
  <si>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</si>
  <si>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</si>
  <si>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</si>
  <si>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</si>
  <si>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</si>
  <si>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</si>
  <si>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</si>
  <si>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</si>
  <si>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</si>
  <si>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</si>
  <si>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</si>
  <si>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</si>
  <si>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</si>
  <si>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</si>
  <si>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</si>
  <si>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</si>
  <si>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</si>
  <si>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</si>
  <si>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</si>
  <si>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</si>
  <si>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</si>
  <si>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</si>
  <si>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</si>
  <si>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</si>
  <si>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</si>
  <si>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</si>
  <si>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</si>
  <si>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</si>
  <si>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</si>
  <si>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</si>
  <si>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</si>
  <si>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</si>
  <si>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</si>
  <si>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</si>
  <si>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</si>
  <si>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</si>
  <si>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</si>
  <si>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</si>
  <si>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</si>
  <si>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</si>
  <si>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</si>
  <si>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</si>
  <si>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</si>
  <si>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</si>
  <si>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</si>
  <si>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</si>
  <si>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</si>
  <si>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</si>
  <si>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</si>
  <si>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</si>
  <si>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</si>
  <si>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</si>
  <si>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</si>
  <si>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</si>
  <si>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</si>
  <si>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</si>
  <si>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</si>
  <si>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</si>
  <si>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</si>
  <si>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</si>
  <si>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</si>
  <si>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</si>
  <si>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</si>
  <si>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</si>
  <si>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</si>
  <si>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</si>
  <si>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</si>
  <si>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</si>
  <si>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</si>
  <si>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</si>
  <si>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</si>
  <si>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</si>
  <si>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</si>
  <si>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</si>
  <si>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</si>
  <si>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</si>
  <si>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</si>
  <si>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</si>
  <si>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</si>
  <si>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</si>
  <si>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</si>
  <si>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</si>
  <si>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</si>
  <si>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</si>
  <si>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</si>
  <si>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</si>
  <si>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</si>
  <si>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</si>
  <si>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</si>
  <si>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</si>
  <si>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</si>
  <si>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</si>
  <si>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</si>
  <si>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</si>
  <si>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</si>
  <si>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</si>
  <si>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</si>
  <si>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</si>
  <si>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</si>
  <si>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</si>
  <si>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</si>
  <si>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</si>
  <si>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</si>
  <si>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</si>
  <si>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</si>
  <si>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</si>
  <si>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</si>
  <si>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</si>
  <si>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</si>
  <si>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</si>
  <si>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</si>
  <si>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</si>
  <si>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</si>
  <si>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</si>
  <si>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</si>
  <si>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</si>
  <si>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</si>
  <si>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</si>
  <si>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</si>
  <si>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</si>
  <si>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</si>
  <si>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</si>
  <si>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</si>
  <si>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</si>
  <si>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</si>
  <si>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</si>
  <si>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</si>
  <si>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</si>
  <si>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</si>
  <si>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</si>
  <si>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</si>
  <si>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</si>
  <si>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</si>
  <si>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</si>
  <si>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</si>
  <si>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</si>
  <si>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</si>
  <si>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</si>
  <si>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</si>
  <si>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</si>
  <si>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</si>
  <si>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</si>
  <si>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</si>
  <si>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</si>
  <si>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</si>
  <si>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</si>
  <si>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</si>
  <si>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</si>
  <si>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</si>
  <si>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</si>
  <si>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</si>
  <si>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</si>
  <si>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</si>
  <si>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</si>
  <si>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</si>
  <si>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</si>
  <si>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</si>
  <si>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</si>
  <si>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</si>
  <si>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</si>
  <si>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</si>
  <si>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</si>
  <si>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</si>
  <si>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</si>
  <si>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</si>
  <si>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</si>
  <si>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</si>
  <si>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</si>
  <si>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</si>
  <si>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</si>
  <si>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</si>
  <si>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</si>
  <si>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</si>
  <si>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</si>
  <si>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</si>
  <si>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</si>
  <si>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</si>
  <si>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</si>
  <si>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</si>
  <si>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</si>
  <si>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</si>
  <si>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</si>
  <si>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</si>
  <si>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</si>
  <si>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</si>
  <si>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</si>
  <si>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</si>
  <si>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</si>
  <si>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</si>
  <si>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</si>
  <si>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</si>
  <si>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</si>
  <si>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</si>
  <si>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</si>
  <si>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</si>
  <si>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</si>
  <si>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</si>
  <si>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</si>
  <si>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</si>
  <si>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</si>
  <si>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</si>
  <si>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</si>
  <si>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</si>
  <si>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</si>
  <si>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</si>
  <si>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</si>
  <si>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</si>
  <si>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</si>
  <si>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</si>
  <si>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</si>
  <si>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</si>
  <si>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</si>
  <si>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</si>
  <si>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</si>
  <si>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</si>
  <si>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</si>
  <si>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</si>
  <si>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</si>
  <si>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</si>
  <si>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</si>
  <si>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</si>
  <si>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</si>
  <si>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</si>
  <si>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</si>
  <si>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</si>
  <si>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</si>
  <si>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</si>
  <si>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</si>
  <si>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</si>
  <si>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</si>
  <si>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</si>
  <si>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</si>
  <si>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</si>
  <si>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</si>
  <si>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</si>
  <si>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</si>
  <si>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</si>
  <si>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</si>
  <si>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</si>
  <si>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</si>
  <si>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</si>
  <si>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</si>
  <si>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</si>
  <si>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</si>
  <si>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</si>
  <si>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</si>
  <si>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</si>
  <si>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</si>
  <si>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</si>
  <si>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</si>
  <si>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</si>
  <si>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</si>
  <si>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</si>
  <si>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</si>
  <si>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</si>
  <si>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</si>
  <si>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</si>
  <si>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</si>
  <si>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</si>
  <si>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</si>
  <si>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</si>
  <si>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</si>
  <si>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</si>
  <si>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</si>
  <si>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</si>
  <si>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</si>
  <si>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</si>
  <si>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</si>
  <si>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</si>
  <si>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</si>
  <si>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</si>
  <si>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</si>
  <si>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</si>
  <si>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</si>
  <si>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</si>
  <si>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</si>
  <si>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</si>
  <si>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</si>
  <si>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</si>
  <si>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</si>
  <si>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</si>
  <si>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</si>
  <si>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</si>
  <si>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</si>
  <si>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</si>
  <si>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</si>
  <si>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</si>
  <si>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</si>
  <si>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</si>
  <si>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</si>
  <si>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</si>
  <si>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</si>
  <si>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</si>
  <si>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</si>
  <si>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</si>
  <si>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</si>
  <si>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</si>
  <si>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</si>
  <si>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</si>
  <si>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</si>
  <si>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</si>
  <si>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</si>
  <si>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</si>
  <si>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</si>
  <si>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</si>
  <si>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</si>
  <si>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</si>
  <si>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</si>
  <si>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</si>
  <si>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</si>
  <si>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</si>
  <si>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</si>
  <si>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</si>
  <si>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</si>
  <si>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</si>
  <si>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</si>
  <si>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</si>
  <si>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</si>
  <si>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</si>
  <si>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</si>
  <si>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</si>
  <si>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</si>
  <si>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</si>
  <si>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</si>
  <si>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</si>
  <si>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</si>
  <si>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</si>
  <si>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</si>
  <si>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</si>
  <si>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</si>
  <si>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</si>
  <si>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</si>
  <si>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</si>
  <si>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</si>
  <si>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</si>
  <si>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</si>
  <si>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</si>
  <si>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</si>
  <si>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</si>
  <si>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</si>
  <si>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</si>
  <si>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</si>
  <si>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</si>
  <si>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</si>
  <si>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</si>
  <si>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</si>
  <si>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</si>
  <si>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</si>
  <si>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</si>
  <si>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</si>
  <si>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</si>
  <si>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</si>
  <si>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</si>
  <si>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</si>
  <si>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</si>
  <si>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</si>
  <si>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</si>
  <si>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</si>
  <si>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</si>
  <si>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</si>
  <si>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</si>
  <si>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</si>
  <si>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</si>
  <si>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</si>
  <si>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</si>
  <si>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</si>
  <si>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</si>
  <si>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</si>
  <si>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</si>
  <si>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</si>
  <si>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</si>
  <si>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</si>
  <si>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</si>
  <si>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</si>
  <si>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</si>
  <si>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</si>
  <si>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</si>
  <si>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</si>
  <si>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</si>
  <si>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</si>
  <si>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</si>
  <si>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</si>
  <si>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</si>
  <si>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</si>
  <si>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</si>
  <si>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</si>
  <si>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</si>
  <si>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</si>
  <si>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</si>
  <si>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</si>
  <si>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</si>
  <si>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</si>
  <si>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</si>
  <si>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</si>
  <si>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</si>
  <si>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</si>
  <si>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</si>
  <si>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</si>
  <si>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</si>
  <si>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</si>
  <si>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</si>
  <si>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</si>
  <si>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</si>
  <si>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</si>
  <si>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</si>
  <si>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</si>
  <si>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</si>
  <si>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</si>
  <si>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</si>
  <si>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</si>
  <si>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</si>
  <si>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</si>
  <si>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</si>
  <si>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</si>
  <si>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</si>
  <si>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</si>
  <si>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</si>
  <si>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</si>
  <si>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</si>
  <si>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</si>
  <si>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</si>
  <si>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</si>
  <si>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</si>
  <si>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</si>
  <si>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</si>
  <si>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</si>
  <si>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</si>
  <si>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</si>
  <si>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</si>
  <si>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</si>
  <si>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</si>
  <si>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</si>
  <si>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</si>
  <si>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</si>
  <si>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</si>
  <si>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</si>
  <si>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</si>
  <si>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</si>
  <si>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</si>
  <si>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</si>
  <si>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</si>
  <si>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</si>
  <si>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</si>
  <si>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</si>
  <si>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</si>
  <si>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</si>
  <si>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</si>
  <si>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</si>
  <si>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</si>
  <si>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</si>
  <si>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</si>
  <si>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</si>
  <si>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</si>
  <si>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</si>
  <si>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</si>
  <si>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</si>
  <si>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</si>
  <si>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</si>
  <si>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</si>
  <si>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</si>
  <si>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</si>
  <si>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</si>
  <si>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</si>
  <si>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</si>
  <si>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</si>
  <si>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</si>
  <si>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</si>
  <si>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</si>
  <si>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</si>
  <si>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</si>
  <si>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</si>
  <si>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</si>
  <si>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</si>
  <si>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</si>
  <si>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</si>
  <si>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</si>
  <si>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</si>
  <si>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</si>
  <si>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</si>
  <si>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</si>
  <si>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</si>
  <si>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</si>
  <si>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</si>
  <si>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</si>
  <si>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</si>
  <si>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</si>
  <si>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</si>
  <si>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</si>
  <si>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</si>
  <si>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</si>
  <si>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</si>
  <si>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</si>
  <si>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</si>
  <si>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</si>
  <si>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</si>
  <si>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</si>
  <si>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</si>
  <si>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</si>
  <si>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</si>
  <si>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</si>
  <si>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</si>
  <si>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</si>
  <si>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</si>
  <si>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</si>
  <si>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</si>
  <si>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</si>
  <si>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</si>
  <si>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</si>
  <si>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</si>
  <si>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</si>
  <si>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</si>
  <si>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</si>
  <si>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</si>
  <si>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</si>
  <si>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</si>
  <si>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</si>
  <si>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</si>
  <si>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</si>
  <si>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</si>
  <si>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</si>
  <si>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</si>
  <si>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</si>
  <si>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</si>
  <si>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</si>
  <si>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</si>
  <si>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</si>
  <si>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</si>
  <si>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72021</t>
  </si>
  <si>
    <t>MAASEIK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</si>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</sst>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229774.28636383661</c:v>
                </c:pt>
                <c:pt idx="1">
                  <c:v>63612.854062888007</c:v>
                </c:pt>
                <c:pt idx="2">
                  <c:v>1423.508</c:v>
                </c:pt>
                <c:pt idx="3">
                  <c:v>13224.647066352316</c:v>
                </c:pt>
                <c:pt idx="4">
                  <c:v>16607.012068324872</c:v>
                </c:pt>
                <c:pt idx="5">
                  <c:v>98214.396583895403</c:v>
                </c:pt>
                <c:pt idx="6">
                  <c:v>2345.8255344613613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58368"/>
        <c:axId val="156464256"/>
      </c:barChart>
      <c:catAx>
        <c:axId val="156458368"/>
        <c:scaling>
          <c:orientation val="minMax"/>
        </c:scaling>
        <c:axPos val="b"/>
        <c:numFmt formatCode="General" sourceLinked="0"/>
        <c:tickLblPos val="nextTo"/>
        <c:crossAx val="156464256"/>
        <c:crosses val="autoZero"/>
        <c:auto val="1"/>
        <c:lblAlgn val="ctr"/>
        <c:lblOffset val="100"/>
      </c:catAx>
      <c:valAx>
        <c:axId val="156464256"/>
        <c:scaling>
          <c:orientation val="minMax"/>
        </c:scaling>
        <c:axPos val="l"/>
        <c:majorGridlines/>
        <c:numFmt formatCode="#,##0" sourceLinked="1"/>
        <c:tickLblPos val="nextTo"/>
        <c:crossAx val="156458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229774.28636383661</c:v>
                </c:pt>
                <c:pt idx="1">
                  <c:v>63612.854062888007</c:v>
                </c:pt>
                <c:pt idx="2">
                  <c:v>1423.508</c:v>
                </c:pt>
                <c:pt idx="3">
                  <c:v>13224.647066352316</c:v>
                </c:pt>
                <c:pt idx="4">
                  <c:v>16607.012068324872</c:v>
                </c:pt>
                <c:pt idx="5">
                  <c:v>98214.396583895403</c:v>
                </c:pt>
                <c:pt idx="6">
                  <c:v>2345.8255344613613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43813.181756661921</c:v>
                </c:pt>
                <c:pt idx="1">
                  <c:v>11335.483292360046</c:v>
                </c:pt>
                <c:pt idx="2">
                  <c:v>228.47207722918441</c:v>
                </c:pt>
                <c:pt idx="3">
                  <c:v>3229.4933441797775</c:v>
                </c:pt>
                <c:pt idx="4">
                  <c:v>2920.7739434921896</c:v>
                </c:pt>
                <c:pt idx="5">
                  <c:v>24548.487530706061</c:v>
                </c:pt>
                <c:pt idx="6">
                  <c:v>592.67414279566424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40544"/>
        <c:axId val="156950528"/>
      </c:barChart>
      <c:catAx>
        <c:axId val="156940544"/>
        <c:scaling>
          <c:orientation val="minMax"/>
        </c:scaling>
        <c:axPos val="b"/>
        <c:numFmt formatCode="General" sourceLinked="0"/>
        <c:tickLblPos val="nextTo"/>
        <c:crossAx val="156950528"/>
        <c:crosses val="autoZero"/>
        <c:auto val="1"/>
        <c:lblAlgn val="ctr"/>
        <c:lblOffset val="100"/>
      </c:catAx>
      <c:valAx>
        <c:axId val="156950528"/>
        <c:scaling>
          <c:orientation val="minMax"/>
        </c:scaling>
        <c:axPos val="l"/>
        <c:majorGridlines/>
        <c:numFmt formatCode="#,##0" sourceLinked="1"/>
        <c:tickLblPos val="nextTo"/>
        <c:crossAx val="156940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43813.181756661921</c:v>
                </c:pt>
                <c:pt idx="1">
                  <c:v>11335.483292360046</c:v>
                </c:pt>
                <c:pt idx="2">
                  <c:v>228.47207722918441</c:v>
                </c:pt>
                <c:pt idx="3">
                  <c:v>3229.4933441797775</c:v>
                </c:pt>
                <c:pt idx="4">
                  <c:v>2920.7739434921896</c:v>
                </c:pt>
                <c:pt idx="5">
                  <c:v>24548.487530706061</c:v>
                </c:pt>
                <c:pt idx="6">
                  <c:v>592.67414279566424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72021</v>
      </c>
      <c r="B6" s="415"/>
      <c r="C6" s="416"/>
    </row>
    <row r="7" spans="1:7" s="413" customFormat="1" ht="15.75" customHeight="1">
      <c r="A7" s="417" t="str">
        <f>txtMunicipality</f>
        <v>MAASEIK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10515</v>
      </c>
      <c r="C9" s="342">
        <v>10742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3571.31</v>
      </c>
    </row>
    <row r="15" spans="1:6">
      <c r="A15" s="348" t="s">
        <v>184</v>
      </c>
      <c r="B15" s="334">
        <v>705</v>
      </c>
    </row>
    <row r="16" spans="1:6">
      <c r="A16" s="348" t="s">
        <v>6</v>
      </c>
      <c r="B16" s="334">
        <v>1953</v>
      </c>
    </row>
    <row r="17" spans="1:6">
      <c r="A17" s="348" t="s">
        <v>7</v>
      </c>
      <c r="B17" s="334">
        <v>392</v>
      </c>
    </row>
    <row r="18" spans="1:6">
      <c r="A18" s="348" t="s">
        <v>8</v>
      </c>
      <c r="B18" s="334">
        <v>1222</v>
      </c>
    </row>
    <row r="19" spans="1:6">
      <c r="A19" s="348" t="s">
        <v>9</v>
      </c>
      <c r="B19" s="334">
        <v>931</v>
      </c>
    </row>
    <row r="20" spans="1:6">
      <c r="A20" s="348" t="s">
        <v>10</v>
      </c>
      <c r="B20" s="334">
        <v>568</v>
      </c>
    </row>
    <row r="21" spans="1:6">
      <c r="A21" s="348" t="s">
        <v>11</v>
      </c>
      <c r="B21" s="334">
        <v>3052</v>
      </c>
    </row>
    <row r="22" spans="1:6">
      <c r="A22" s="348" t="s">
        <v>12</v>
      </c>
      <c r="B22" s="334">
        <v>12761</v>
      </c>
    </row>
    <row r="23" spans="1:6">
      <c r="A23" s="348" t="s">
        <v>13</v>
      </c>
      <c r="B23" s="334">
        <v>147</v>
      </c>
    </row>
    <row r="24" spans="1:6">
      <c r="A24" s="348" t="s">
        <v>14</v>
      </c>
      <c r="B24" s="334">
        <v>5</v>
      </c>
    </row>
    <row r="25" spans="1:6">
      <c r="A25" s="348" t="s">
        <v>15</v>
      </c>
      <c r="B25" s="334">
        <v>776</v>
      </c>
    </row>
    <row r="26" spans="1:6">
      <c r="A26" s="348" t="s">
        <v>16</v>
      </c>
      <c r="B26" s="334">
        <v>130</v>
      </c>
    </row>
    <row r="27" spans="1:6">
      <c r="A27" s="348" t="s">
        <v>17</v>
      </c>
      <c r="B27" s="334">
        <v>8</v>
      </c>
    </row>
    <row r="28" spans="1:6" s="356" customFormat="1">
      <c r="A28" s="355" t="s">
        <v>18</v>
      </c>
      <c r="B28" s="355">
        <v>338895</v>
      </c>
    </row>
    <row r="29" spans="1:6">
      <c r="A29" s="355" t="s">
        <v>744</v>
      </c>
      <c r="B29" s="355">
        <v>310</v>
      </c>
      <c r="C29" s="356"/>
      <c r="D29" s="356"/>
      <c r="E29" s="356"/>
      <c r="F29" s="356"/>
    </row>
    <row r="30" spans="1:6">
      <c r="A30" s="341" t="s">
        <v>745</v>
      </c>
      <c r="B30" s="341">
        <v>51</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18</v>
      </c>
      <c r="F36" s="334">
        <v>72249</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5773</v>
      </c>
      <c r="D39" s="334">
        <v>92465350.549999997</v>
      </c>
      <c r="E39" s="334">
        <v>10553</v>
      </c>
      <c r="F39" s="334">
        <v>35276474</v>
      </c>
    </row>
    <row r="40" spans="1:6">
      <c r="A40" s="348" t="s">
        <v>30</v>
      </c>
      <c r="B40" s="348" t="s">
        <v>29</v>
      </c>
      <c r="C40" s="334">
        <v>0</v>
      </c>
      <c r="D40" s="334">
        <v>0</v>
      </c>
      <c r="E40" s="334">
        <v>0</v>
      </c>
      <c r="F40" s="334">
        <v>0</v>
      </c>
    </row>
    <row r="41" spans="1:6">
      <c r="A41" s="348" t="s">
        <v>32</v>
      </c>
      <c r="B41" s="348" t="s">
        <v>33</v>
      </c>
      <c r="C41" s="334">
        <v>73</v>
      </c>
      <c r="D41" s="334">
        <v>2859096.6000000006</v>
      </c>
      <c r="E41" s="334">
        <v>169</v>
      </c>
      <c r="F41" s="334">
        <v>2239360.1999999997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606156.6</v>
      </c>
      <c r="E44" s="334">
        <v>26</v>
      </c>
      <c r="F44" s="334">
        <v>1235662</v>
      </c>
    </row>
    <row r="45" spans="1:6">
      <c r="A45" s="348" t="s">
        <v>32</v>
      </c>
      <c r="B45" s="348" t="s">
        <v>37</v>
      </c>
      <c r="C45" s="334">
        <v>3</v>
      </c>
      <c r="D45" s="334">
        <v>180586</v>
      </c>
      <c r="E45" s="334">
        <v>6</v>
      </c>
      <c r="F45" s="334">
        <v>2326789</v>
      </c>
    </row>
    <row r="46" spans="1:6">
      <c r="A46" s="348" t="s">
        <v>32</v>
      </c>
      <c r="B46" s="348" t="s">
        <v>38</v>
      </c>
      <c r="C46" s="334">
        <v>0</v>
      </c>
      <c r="D46" s="334">
        <v>0</v>
      </c>
      <c r="E46" s="334">
        <v>0</v>
      </c>
      <c r="F46" s="334">
        <v>0</v>
      </c>
    </row>
    <row r="47" spans="1:6">
      <c r="A47" s="348" t="s">
        <v>32</v>
      </c>
      <c r="B47" s="348" t="s">
        <v>39</v>
      </c>
      <c r="C47" s="334">
        <v>0</v>
      </c>
      <c r="D47" s="334">
        <v>0</v>
      </c>
      <c r="E47" s="334">
        <v>5</v>
      </c>
      <c r="F47" s="334">
        <v>126849</v>
      </c>
    </row>
    <row r="48" spans="1:6">
      <c r="A48" s="348" t="s">
        <v>32</v>
      </c>
      <c r="B48" s="348" t="s">
        <v>29</v>
      </c>
      <c r="C48" s="334">
        <v>0</v>
      </c>
      <c r="D48" s="334">
        <v>0</v>
      </c>
      <c r="E48" s="334">
        <v>0</v>
      </c>
      <c r="F48" s="334">
        <v>0</v>
      </c>
    </row>
    <row r="49" spans="1:6">
      <c r="A49" s="348" t="s">
        <v>32</v>
      </c>
      <c r="B49" s="348" t="s">
        <v>40</v>
      </c>
      <c r="C49" s="334">
        <v>0</v>
      </c>
      <c r="D49" s="334">
        <v>0</v>
      </c>
      <c r="E49" s="334">
        <v>4</v>
      </c>
      <c r="F49" s="334">
        <v>70553.55</v>
      </c>
    </row>
    <row r="50" spans="1:6">
      <c r="A50" s="348" t="s">
        <v>32</v>
      </c>
      <c r="B50" s="348" t="s">
        <v>41</v>
      </c>
      <c r="C50" s="334">
        <v>12</v>
      </c>
      <c r="D50" s="334">
        <v>1235634</v>
      </c>
      <c r="E50" s="334">
        <v>19</v>
      </c>
      <c r="F50" s="334">
        <v>971151</v>
      </c>
    </row>
    <row r="51" spans="1:6">
      <c r="A51" s="348" t="s">
        <v>42</v>
      </c>
      <c r="B51" s="348" t="s">
        <v>43</v>
      </c>
      <c r="C51" s="334">
        <v>26</v>
      </c>
      <c r="D51" s="334">
        <v>1551474</v>
      </c>
      <c r="E51" s="334">
        <v>101</v>
      </c>
      <c r="F51" s="334">
        <v>2214370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1423508</v>
      </c>
    </row>
    <row r="55" spans="1:6">
      <c r="A55" s="348" t="s">
        <v>46</v>
      </c>
      <c r="B55" s="348" t="s">
        <v>29</v>
      </c>
      <c r="C55" s="334">
        <v>0</v>
      </c>
      <c r="D55" s="334">
        <v>0</v>
      </c>
      <c r="E55" s="334">
        <v>0</v>
      </c>
      <c r="F55" s="334">
        <v>0</v>
      </c>
    </row>
    <row r="56" spans="1:6">
      <c r="A56" s="348" t="s">
        <v>48</v>
      </c>
      <c r="B56" s="348" t="s">
        <v>29</v>
      </c>
      <c r="C56" s="334">
        <v>9</v>
      </c>
      <c r="D56" s="334">
        <v>1257356</v>
      </c>
      <c r="E56" s="334">
        <v>13</v>
      </c>
      <c r="F56" s="334">
        <v>13959830</v>
      </c>
    </row>
    <row r="57" spans="1:6">
      <c r="A57" s="348" t="s">
        <v>49</v>
      </c>
      <c r="B57" s="348" t="s">
        <v>50</v>
      </c>
      <c r="C57" s="334">
        <v>80</v>
      </c>
      <c r="D57" s="334">
        <v>8010143</v>
      </c>
      <c r="E57" s="334">
        <v>148</v>
      </c>
      <c r="F57" s="334">
        <v>4086309.15</v>
      </c>
    </row>
    <row r="58" spans="1:6">
      <c r="A58" s="348" t="s">
        <v>49</v>
      </c>
      <c r="B58" s="348" t="s">
        <v>51</v>
      </c>
      <c r="C58" s="334">
        <v>25</v>
      </c>
      <c r="D58" s="334">
        <v>3429394</v>
      </c>
      <c r="E58" s="334">
        <v>43</v>
      </c>
      <c r="F58" s="334">
        <v>3084161</v>
      </c>
    </row>
    <row r="59" spans="1:6">
      <c r="A59" s="348" t="s">
        <v>49</v>
      </c>
      <c r="B59" s="348" t="s">
        <v>52</v>
      </c>
      <c r="C59" s="334">
        <v>134</v>
      </c>
      <c r="D59" s="334">
        <v>4976800.7999999989</v>
      </c>
      <c r="E59" s="334">
        <v>303</v>
      </c>
      <c r="F59" s="334">
        <v>8118425.5499999998</v>
      </c>
    </row>
    <row r="60" spans="1:6">
      <c r="A60" s="348" t="s">
        <v>49</v>
      </c>
      <c r="B60" s="348" t="s">
        <v>53</v>
      </c>
      <c r="C60" s="334">
        <v>74</v>
      </c>
      <c r="D60" s="334">
        <v>3912209.7</v>
      </c>
      <c r="E60" s="334">
        <v>124</v>
      </c>
      <c r="F60" s="334">
        <v>3645265.8</v>
      </c>
    </row>
    <row r="61" spans="1:6">
      <c r="A61" s="348" t="s">
        <v>49</v>
      </c>
      <c r="B61" s="348" t="s">
        <v>54</v>
      </c>
      <c r="C61" s="334">
        <v>143</v>
      </c>
      <c r="D61" s="334">
        <v>5862169.8000000007</v>
      </c>
      <c r="E61" s="334">
        <v>408</v>
      </c>
      <c r="F61" s="334">
        <v>5827008.4000000004</v>
      </c>
    </row>
    <row r="62" spans="1:6">
      <c r="A62" s="348" t="s">
        <v>49</v>
      </c>
      <c r="B62" s="348" t="s">
        <v>55</v>
      </c>
      <c r="C62" s="334">
        <v>28</v>
      </c>
      <c r="D62" s="334">
        <v>4961783.5999999996</v>
      </c>
      <c r="E62" s="334">
        <v>29</v>
      </c>
      <c r="F62" s="334">
        <v>2007511.55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37468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98773477</v>
      </c>
      <c r="E73" s="476">
        <v>99981299.946342066</v>
      </c>
    </row>
    <row r="74" spans="1:6">
      <c r="A74" s="348" t="s">
        <v>64</v>
      </c>
      <c r="B74" s="348" t="s">
        <v>657</v>
      </c>
      <c r="C74" s="1213" t="s">
        <v>659</v>
      </c>
      <c r="D74" s="476">
        <v>5336672.4549225559</v>
      </c>
      <c r="E74" s="476">
        <v>5379814.8367400002</v>
      </c>
    </row>
    <row r="75" spans="1:6">
      <c r="A75" s="348" t="s">
        <v>65</v>
      </c>
      <c r="B75" s="348" t="s">
        <v>656</v>
      </c>
      <c r="C75" s="1213" t="s">
        <v>660</v>
      </c>
      <c r="D75" s="476">
        <v>26390460</v>
      </c>
      <c r="E75" s="476">
        <v>26756782.398904629</v>
      </c>
    </row>
    <row r="76" spans="1:6">
      <c r="A76" s="348" t="s">
        <v>65</v>
      </c>
      <c r="B76" s="348" t="s">
        <v>657</v>
      </c>
      <c r="C76" s="1213" t="s">
        <v>661</v>
      </c>
      <c r="D76" s="476">
        <v>466197.4549225556</v>
      </c>
      <c r="E76" s="476">
        <v>475188.97963412403</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636227.09015488881</v>
      </c>
      <c r="C83" s="476">
        <v>650573.32750793139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10334.121279407986</v>
      </c>
    </row>
    <row r="91" spans="1:6">
      <c r="A91" s="348" t="s">
        <v>68</v>
      </c>
      <c r="B91" s="334">
        <v>8158.2402588903433</v>
      </c>
    </row>
    <row r="92" spans="1:6">
      <c r="A92" s="341" t="s">
        <v>69</v>
      </c>
      <c r="B92" s="342">
        <v>3644.0071926135433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2004</v>
      </c>
    </row>
    <row r="98" spans="1:6">
      <c r="A98" s="348" t="s">
        <v>72</v>
      </c>
      <c r="B98" s="334">
        <v>3</v>
      </c>
    </row>
    <row r="99" spans="1:6">
      <c r="A99" s="348" t="s">
        <v>73</v>
      </c>
      <c r="B99" s="334">
        <v>78</v>
      </c>
    </row>
    <row r="100" spans="1:6">
      <c r="A100" s="348" t="s">
        <v>74</v>
      </c>
      <c r="B100" s="334">
        <v>269</v>
      </c>
    </row>
    <row r="101" spans="1:6">
      <c r="A101" s="348" t="s">
        <v>75</v>
      </c>
      <c r="B101" s="334">
        <v>71</v>
      </c>
    </row>
    <row r="102" spans="1:6">
      <c r="A102" s="348" t="s">
        <v>76</v>
      </c>
      <c r="B102" s="334">
        <v>125</v>
      </c>
    </row>
    <row r="103" spans="1:6">
      <c r="A103" s="348" t="s">
        <v>77</v>
      </c>
      <c r="B103" s="334">
        <v>108</v>
      </c>
    </row>
    <row r="104" spans="1:6">
      <c r="A104" s="348" t="s">
        <v>78</v>
      </c>
      <c r="B104" s="334">
        <v>6016</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24</v>
      </c>
    </row>
    <row r="124" spans="1:6">
      <c r="A124" s="341" t="s">
        <v>89</v>
      </c>
      <c r="B124" s="334">
        <v>1</v>
      </c>
      <c r="C124" s="334">
        <v>5</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319</v>
      </c>
    </row>
    <row r="130" spans="1:6">
      <c r="A130" s="348" t="s">
        <v>295</v>
      </c>
      <c r="B130" s="334">
        <v>2</v>
      </c>
    </row>
    <row r="131" spans="1:6">
      <c r="A131" s="348" t="s">
        <v>296</v>
      </c>
      <c r="B131" s="334">
        <v>2</v>
      </c>
    </row>
    <row r="132" spans="1:6">
      <c r="A132" s="341" t="s">
        <v>297</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80860.878366433171</v>
      </c>
      <c r="C3" s="43" t="s">
        <v>170</v>
      </c>
      <c r="D3" s="43"/>
      <c r="E3" s="154"/>
      <c r="F3" s="43"/>
      <c r="G3" s="43"/>
      <c r="H3" s="43"/>
      <c r="I3" s="43"/>
      <c r="J3" s="43"/>
      <c r="K3" s="96"/>
    </row>
    <row r="4" spans="1:11">
      <c r="A4" s="383" t="s">
        <v>171</v>
      </c>
      <c r="B4" s="49">
        <f>IF(ISERROR('SEAP template'!B69),0,'SEAP template'!B69)</f>
        <v>22136.368730911872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0.16049932787816043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1423.508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1423.508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0.16049932787816043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228.47207722918441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35276.474000000002</v>
      </c>
      <c r="C5" s="17">
        <f>IF(ISERROR('Eigen informatie GS &amp; warmtenet'!B57),0,'Eigen informatie GS &amp; warmtenet'!B57)</f>
        <v>0</v>
      </c>
      <c r="D5" s="30">
        <f>(SUM(HH_hh_gas_kWh,HH_rest_gas_kWh)/1000)*0.902</f>
        <v>83403.746196100008</v>
      </c>
      <c r="E5" s="17">
        <f>B46*B57</f>
        <v>8182.9650654076841</v>
      </c>
      <c r="F5" s="17">
        <f>B51*B62</f>
        <v>67928.27531861543</v>
      </c>
      <c r="G5" s="18"/>
      <c r="H5" s="17"/>
      <c r="I5" s="17"/>
      <c r="J5" s="17">
        <f>B50*B61+C50*C61</f>
        <v>0</v>
      </c>
      <c r="K5" s="17"/>
      <c r="L5" s="17"/>
      <c r="M5" s="17"/>
      <c r="N5" s="17">
        <f>B48*B59+C48*C59</f>
        <v>25384.41219148981</v>
      </c>
      <c r="O5" s="17">
        <f>B69*B70*B71</f>
        <v>544.04000000000008</v>
      </c>
      <c r="P5" s="17">
        <f>B77*B78*B79/1000-B77*B78*B79/1000/B80</f>
        <v>896.13333333333333</v>
      </c>
    </row>
    <row r="6" spans="1:16">
      <c r="A6" s="16" t="s">
        <v>621</v>
      </c>
      <c r="B6" s="843">
        <f>kWh_PV_kleiner_dan_10kW</f>
        <v>8158.2402588903433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43434.714258890344</v>
      </c>
      <c r="C8" s="21">
        <f>C5</f>
        <v>0</v>
      </c>
      <c r="D8" s="21">
        <f>D5</f>
        <v>83403.746196100008</v>
      </c>
      <c r="E8" s="21">
        <f>E5</f>
        <v>8182.9650654076841</v>
      </c>
      <c r="F8" s="21">
        <f>F5</f>
        <v>67928.27531861543</v>
      </c>
      <c r="G8" s="21"/>
      <c r="H8" s="21"/>
      <c r="I8" s="21"/>
      <c r="J8" s="21">
        <f>J5</f>
        <v>0</v>
      </c>
      <c r="K8" s="21"/>
      <c r="L8" s="21">
        <f>L5</f>
        <v>0</v>
      </c>
      <c r="M8" s="21">
        <f>M5</f>
        <v>0</v>
      </c>
      <c r="N8" s="21">
        <f>N5</f>
        <v>25384.41219148981</v>
      </c>
      <c r="O8" s="21">
        <f>O5</f>
        <v>544.04000000000008</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0.16049932787816043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6971.2424451318511</v>
      </c>
      <c r="C12" s="23">
        <f ca="1">C10*C8</f>
        <v>0</v>
      </c>
      <c r="D12" s="23">
        <f>D8*D10</f>
        <v>16847.556731612203</v>
      </c>
      <c r="E12" s="23">
        <f>E10*E8</f>
        <v>1857.5330698475443</v>
      </c>
      <c r="F12" s="23">
        <f>F10*F8</f>
        <v>18136.849510070322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2004</v>
      </c>
      <c r="C18" s="166" t="s">
        <v>111</v>
      </c>
      <c r="D18" s="228"/>
      <c r="E18" s="15"/>
    </row>
    <row r="19" spans="1:7">
      <c r="A19" s="171" t="s">
        <v>72</v>
      </c>
      <c r="B19" s="37">
        <f>aantalw2001_ander</f>
        <v>3</v>
      </c>
      <c r="C19" s="166" t="s">
        <v>111</v>
      </c>
      <c r="D19" s="229"/>
      <c r="E19" s="15"/>
    </row>
    <row r="20" spans="1:7">
      <c r="A20" s="171" t="s">
        <v>73</v>
      </c>
      <c r="B20" s="37">
        <f>aantalw2001_propaan</f>
        <v>78</v>
      </c>
      <c r="C20" s="167">
        <f>IF(ISERROR(B20/SUM($B$20,$B$21,$B$22)*100),0,B20/SUM($B$20,$B$21,$B$22)*100)</f>
        <v>18.660287081339714</v>
      </c>
      <c r="D20" s="229"/>
      <c r="E20" s="15"/>
    </row>
    <row r="21" spans="1:7">
      <c r="A21" s="171" t="s">
        <v>74</v>
      </c>
      <c r="B21" s="37">
        <f>aantalw2001_elektriciteit</f>
        <v>269</v>
      </c>
      <c r="C21" s="167">
        <f>IF(ISERROR(B21/SUM($B$20,$B$21,$B$22)*100),0,B21/SUM($B$20,$B$21,$B$22)*100)</f>
        <v>64.354066985645929</v>
      </c>
      <c r="D21" s="229"/>
      <c r="E21" s="15"/>
    </row>
    <row r="22" spans="1:7">
      <c r="A22" s="171" t="s">
        <v>75</v>
      </c>
      <c r="B22" s="37">
        <f>aantalw2001_hout</f>
        <v>71</v>
      </c>
      <c r="C22" s="167">
        <f>IF(ISERROR(B22/SUM($B$20,$B$21,$B$22)*100),0,B22/SUM($B$20,$B$21,$B$22)*100)</f>
        <v>16.985645933014354</v>
      </c>
      <c r="D22" s="229"/>
      <c r="E22" s="15"/>
    </row>
    <row r="23" spans="1:7">
      <c r="A23" s="171" t="s">
        <v>76</v>
      </c>
      <c r="B23" s="37">
        <f>aantalw2001_niet_gespec</f>
        <v>125</v>
      </c>
      <c r="C23" s="166" t="s">
        <v>111</v>
      </c>
      <c r="D23" s="228"/>
      <c r="E23" s="15"/>
    </row>
    <row r="24" spans="1:7">
      <c r="A24" s="171" t="s">
        <v>77</v>
      </c>
      <c r="B24" s="37">
        <f>aantalw2001_steenkool</f>
        <v>108</v>
      </c>
      <c r="C24" s="166" t="s">
        <v>111</v>
      </c>
      <c r="D24" s="229"/>
      <c r="E24" s="15"/>
    </row>
    <row r="25" spans="1:7">
      <c r="A25" s="171" t="s">
        <v>78</v>
      </c>
      <c r="B25" s="37">
        <f>aantalw2001_stookolie</f>
        <v>6016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10515</v>
      </c>
      <c r="C28" s="36"/>
      <c r="D28" s="228"/>
    </row>
    <row r="29" spans="1:7" s="15" customFormat="1">
      <c r="A29" s="230" t="s">
        <v>795</v>
      </c>
      <c r="B29" s="37">
        <f>SUM(HH_hh_gas_aantal,HH_rest_gas_aantal)</f>
        <v>5773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5773</v>
      </c>
      <c r="C32" s="167">
        <f>IF(ISERROR(B32/SUM($B$32,$B$34,$B$35,$B$36,$B$38,$B$39)*100),0,B32/SUM($B$32,$B$34,$B$35,$B$36,$B$38,$B$39)*100)</f>
        <v>55.149025601834154</v>
      </c>
      <c r="D32" s="233"/>
      <c r="G32" s="15"/>
    </row>
    <row r="33" spans="1:7">
      <c r="A33" s="171" t="s">
        <v>72</v>
      </c>
      <c r="B33" s="34" t="s">
        <v>111</v>
      </c>
      <c r="C33" s="167"/>
      <c r="D33" s="233"/>
      <c r="G33" s="15"/>
    </row>
    <row r="34" spans="1:7">
      <c r="A34" s="171" t="s">
        <v>73</v>
      </c>
      <c r="B34" s="33">
        <f>IF((($B$28-$B$32-$B$39-$B$77-$B$38)*C20/100)&lt;0,0,($B$28-$B$32-$B$39-$B$77-$B$38)*C20/100)</f>
        <v>386.47320574162683</v>
      </c>
      <c r="C34" s="167">
        <f>IF(ISERROR(B34/SUM($B$32,$B$34,$B$35,$B$36,$B$38,$B$39)*100),0,B34/SUM($B$32,$B$34,$B$35,$B$36,$B$38,$B$39)*100)</f>
        <v>3.6919488511809977</v>
      </c>
      <c r="D34" s="233"/>
      <c r="G34" s="15"/>
    </row>
    <row r="35" spans="1:7">
      <c r="A35" s="171" t="s">
        <v>74</v>
      </c>
      <c r="B35" s="33">
        <f>IF((($B$28-$B$32-$B$39-$B$77-$B$38)*C21/100)&lt;0,0,($B$28-$B$32-$B$39-$B$77-$B$38)*C21/100)</f>
        <v>1332.837081339713</v>
      </c>
      <c r="C35" s="167">
        <f>IF(ISERROR(B35/SUM($B$32,$B$34,$B$35,$B$36,$B$38,$B$39)*100),0,B35/SUM($B$32,$B$34,$B$35,$B$36,$B$38,$B$39)*100)</f>
        <v>12.732490268816518</v>
      </c>
      <c r="D35" s="233"/>
      <c r="G35" s="15"/>
    </row>
    <row r="36" spans="1:7">
      <c r="A36" s="171" t="s">
        <v>75</v>
      </c>
      <c r="B36" s="33">
        <f>IF((($B$28-$B$32-$B$39-$B$77-$B$38)*C22/100)&lt;0,0,($B$28-$B$32-$B$39-$B$77-$B$38)*C22/100)</f>
        <v>351.78971291866031</v>
      </c>
      <c r="C36" s="167">
        <f>IF(ISERROR(B36/SUM($B$32,$B$34,$B$35,$B$36,$B$38,$B$39)*100),0,B36/SUM($B$32,$B$34,$B$35,$B$36,$B$38,$B$39)*100)</f>
        <v>3.3606201081262927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2623.9</v>
      </c>
      <c r="C39" s="167">
        <f>IF(ISERROR(B39/SUM($B$32,$B$34,$B$35,$B$36,$B$38,$B$39)*100),0,B39/SUM($B$32,$B$34,$B$35,$B$36,$B$38,$B$39)*100)</f>
        <v>25.065915170042036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5773</v>
      </c>
      <c r="C44" s="34" t="s">
        <v>111</v>
      </c>
      <c r="D44" s="174"/>
    </row>
    <row r="45" spans="1:7">
      <c r="A45" s="171" t="s">
        <v>72</v>
      </c>
      <c r="B45" s="33" t="str">
        <f t="shared" si="0"/>
        <v>-</v>
      </c>
      <c r="C45" s="34" t="s">
        <v>111</v>
      </c>
      <c r="D45" s="174"/>
    </row>
    <row r="46" spans="1:7">
      <c r="A46" s="171" t="s">
        <v>73</v>
      </c>
      <c r="B46" s="33">
        <f t="shared" si="0"/>
        <v>386.47320574162683</v>
      </c>
      <c r="C46" s="34" t="s">
        <v>111</v>
      </c>
      <c r="D46" s="174"/>
    </row>
    <row r="47" spans="1:7">
      <c r="A47" s="171" t="s">
        <v>74</v>
      </c>
      <c r="B47" s="33">
        <f t="shared" si="0"/>
        <v>1332.837081339713</v>
      </c>
      <c r="C47" s="34" t="s">
        <v>111</v>
      </c>
      <c r="D47" s="174"/>
    </row>
    <row r="48" spans="1:7">
      <c r="A48" s="171" t="s">
        <v>75</v>
      </c>
      <c r="B48" s="33">
        <f t="shared" si="0"/>
        <v>351.78971291866031</v>
      </c>
      <c r="C48" s="33">
        <f>B48*10</f>
        <v>3517.8971291866033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2623.9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26768.68145</v>
      </c>
      <c r="C5" s="17">
        <f>IF(ISERROR('Eigen informatie GS &amp; warmtenet'!B58),0,'Eigen informatie GS &amp; warmtenet'!B58)</f>
        <v>0</v>
      </c>
      <c r="D5" s="30">
        <f>SUM(D6:D12)</f>
        <v>28099.555811800001</v>
      </c>
      <c r="E5" s="17">
        <f>SUM(E6:E12)</f>
        <v>382.04436370101752</v>
      </c>
      <c r="F5" s="17">
        <f>SUM(F6:F12)</f>
        <v>4780.0081194827844</v>
      </c>
      <c r="G5" s="18"/>
      <c r="H5" s="17"/>
      <c r="I5" s="17"/>
      <c r="J5" s="17">
        <f>SUM(J6:J12)</f>
        <v>8.8697753756917311E-2</v>
      </c>
      <c r="K5" s="17"/>
      <c r="L5" s="17"/>
      <c r="M5" s="17"/>
      <c r="N5" s="17">
        <f>SUM(N6:N12)</f>
        <v>3541.2156201504445</v>
      </c>
      <c r="O5" s="17">
        <f>B38*B39*B40</f>
        <v>3.1266666666666669</v>
      </c>
      <c r="P5" s="17">
        <f>B46*B47*B48/1000-B46*B47*B48/1000/B49</f>
        <v>38.133333333333333</v>
      </c>
      <c r="R5" s="32"/>
    </row>
    <row r="6" spans="1:18">
      <c r="A6" s="32" t="s">
        <v>54</v>
      </c>
      <c r="B6" s="37">
        <f>B26</f>
        <v>5827.0084000000006</v>
      </c>
      <c r="C6" s="33"/>
      <c r="D6" s="37">
        <f>IF(ISERROR(TER_kantoor_gas_kWh/1000),0,TER_kantoor_gas_kWh/1000)*0.902</f>
        <v>5287.6771596000008</v>
      </c>
      <c r="E6" s="33">
        <f>$C$26*'E Balans VL '!I12/100/3.6*1000000</f>
        <v>3.6521750618568175E-2</v>
      </c>
      <c r="F6" s="33">
        <f>$C$26*('E Balans VL '!L12+'E Balans VL '!N12)/100/3.6*1000000</f>
        <v>875.63654037634365</v>
      </c>
      <c r="G6" s="34"/>
      <c r="H6" s="33"/>
      <c r="I6" s="33"/>
      <c r="J6" s="33">
        <f>$C$26*('E Balans VL '!D12+'E Balans VL '!E12)/100/3.6*1000000</f>
        <v>0</v>
      </c>
      <c r="K6" s="33"/>
      <c r="L6" s="33"/>
      <c r="M6" s="33"/>
      <c r="N6" s="33">
        <f>$C$26*'E Balans VL '!Y12/100/3.6*1000000</f>
        <v>5.5726695857913597</v>
      </c>
      <c r="O6" s="33"/>
      <c r="P6" s="33"/>
      <c r="R6" s="32"/>
    </row>
    <row r="7" spans="1:18">
      <c r="A7" s="32" t="s">
        <v>53</v>
      </c>
      <c r="B7" s="37">
        <f t="shared" ref="B7:B12" si="0">B27</f>
        <v>3645.2657999999997</v>
      </c>
      <c r="C7" s="33"/>
      <c r="D7" s="37">
        <f>IF(ISERROR(TER_horeca_gas_kWh/1000),0,TER_horeca_gas_kWh/1000)*0.902</f>
        <v>3528.8131494000004</v>
      </c>
      <c r="E7" s="33">
        <f>$C$27*'E Balans VL '!I9/100/3.6*1000000</f>
        <v>52.199599070628253</v>
      </c>
      <c r="F7" s="33">
        <f>$C$27*('E Balans VL '!L9+'E Balans VL '!N9)/100/3.6*1000000</f>
        <v>461.61087577787515</v>
      </c>
      <c r="G7" s="34"/>
      <c r="H7" s="33"/>
      <c r="I7" s="33"/>
      <c r="J7" s="33">
        <f>$C$27*('E Balans VL '!D9+'E Balans VL '!E9)/100/3.6*1000000</f>
        <v>0</v>
      </c>
      <c r="K7" s="33"/>
      <c r="L7" s="33"/>
      <c r="M7" s="33"/>
      <c r="N7" s="33">
        <f>$C$27*'E Balans VL '!Y9/100/3.6*1000000</f>
        <v>1.0479335462881478</v>
      </c>
      <c r="O7" s="33"/>
      <c r="P7" s="33"/>
      <c r="R7" s="32"/>
    </row>
    <row r="8" spans="1:18">
      <c r="A8" s="6" t="s">
        <v>52</v>
      </c>
      <c r="B8" s="37">
        <f t="shared" si="0"/>
        <v>8118.4255499999999</v>
      </c>
      <c r="C8" s="33"/>
      <c r="D8" s="37">
        <f>IF(ISERROR(TER_handel_gas_kWh/1000),0,TER_handel_gas_kWh/1000)*0.902</f>
        <v>4489.0743215999992</v>
      </c>
      <c r="E8" s="33">
        <f>$C$28*'E Balans VL '!I13/100/3.6*1000000</f>
        <v>294.4542935791128</v>
      </c>
      <c r="F8" s="33">
        <f>$C$28*('E Balans VL '!L13+'E Balans VL '!N13)/100/3.6*1000000</f>
        <v>1563.6909652150787</v>
      </c>
      <c r="G8" s="34"/>
      <c r="H8" s="33"/>
      <c r="I8" s="33"/>
      <c r="J8" s="33">
        <f>$C$28*('E Balans VL '!D13+'E Balans VL '!E13)/100/3.6*1000000</f>
        <v>0</v>
      </c>
      <c r="K8" s="33"/>
      <c r="L8" s="33"/>
      <c r="M8" s="33"/>
      <c r="N8" s="33">
        <f>$C$28*'E Balans VL '!Y13/100/3.6*1000000</f>
        <v>11.245887353160247</v>
      </c>
      <c r="O8" s="33"/>
      <c r="P8" s="33"/>
      <c r="R8" s="32"/>
    </row>
    <row r="9" spans="1:18">
      <c r="A9" s="32" t="s">
        <v>51</v>
      </c>
      <c r="B9" s="37">
        <f t="shared" si="0"/>
        <v>3084.1610000000001</v>
      </c>
      <c r="C9" s="33"/>
      <c r="D9" s="37">
        <f>IF(ISERROR(TER_gezond_gas_kWh/1000),0,TER_gezond_gas_kWh/1000)*0.902</f>
        <v>3093.313388</v>
      </c>
      <c r="E9" s="33">
        <f>$C$29*'E Balans VL '!I10/100/3.6*1000000</f>
        <v>0.19309892918865806</v>
      </c>
      <c r="F9" s="33">
        <f>$C$29*('E Balans VL '!L10+'E Balans VL '!N10)/100/3.6*1000000</f>
        <v>458.16150692595289</v>
      </c>
      <c r="G9" s="34"/>
      <c r="H9" s="33"/>
      <c r="I9" s="33"/>
      <c r="J9" s="33">
        <f>$C$29*('E Balans VL '!D10+'E Balans VL '!E10)/100/3.6*1000000</f>
        <v>0</v>
      </c>
      <c r="K9" s="33"/>
      <c r="L9" s="33"/>
      <c r="M9" s="33"/>
      <c r="N9" s="33">
        <f>$C$29*'E Balans VL '!Y10/100/3.6*1000000</f>
        <v>47.706099944097936</v>
      </c>
      <c r="O9" s="33"/>
      <c r="P9" s="33"/>
      <c r="R9" s="32"/>
    </row>
    <row r="10" spans="1:18">
      <c r="A10" s="32" t="s">
        <v>50</v>
      </c>
      <c r="B10" s="37">
        <f t="shared" si="0"/>
        <v>4086.30915</v>
      </c>
      <c r="C10" s="33"/>
      <c r="D10" s="37">
        <f>IF(ISERROR(TER_ander_gas_kWh/1000),0,TER_ander_gas_kWh/1000)*0.902</f>
        <v>7225.1489860000001</v>
      </c>
      <c r="E10" s="33">
        <f>$C$30*'E Balans VL '!I14/100/3.6*1000000</f>
        <v>4.8707344867840261</v>
      </c>
      <c r="F10" s="33">
        <f>$C$30*('E Balans VL '!L14+'E Balans VL '!N14)/100/3.6*1000000</f>
        <v>1069.1601366764232</v>
      </c>
      <c r="G10" s="34"/>
      <c r="H10" s="33"/>
      <c r="I10" s="33"/>
      <c r="J10" s="33">
        <f>$C$30*('E Balans VL '!D14+'E Balans VL '!E14)/100/3.6*1000000</f>
        <v>8.8697753756917311E-2</v>
      </c>
      <c r="K10" s="33"/>
      <c r="L10" s="33"/>
      <c r="M10" s="33"/>
      <c r="N10" s="33">
        <f>$C$30*'E Balans VL '!Y14/100/3.6*1000000</f>
        <v>3469.9937396025671</v>
      </c>
      <c r="O10" s="33"/>
      <c r="P10" s="33"/>
      <c r="R10" s="32"/>
    </row>
    <row r="11" spans="1:18">
      <c r="A11" s="32" t="s">
        <v>55</v>
      </c>
      <c r="B11" s="37">
        <f t="shared" si="0"/>
        <v>2007.5115499999999</v>
      </c>
      <c r="C11" s="33"/>
      <c r="D11" s="37">
        <f>IF(ISERROR(TER_onderwijs_gas_kWh/1000),0,TER_onderwijs_gas_kWh/1000)*0.902</f>
        <v>4475.5288072000003</v>
      </c>
      <c r="E11" s="33">
        <f>$C$31*'E Balans VL '!I11/100/3.6*1000000</f>
        <v>30.290115884685246</v>
      </c>
      <c r="F11" s="33">
        <f>$C$31*('E Balans VL '!L11+'E Balans VL '!N11)/100/3.6*1000000</f>
        <v>351.74809451111133</v>
      </c>
      <c r="G11" s="34"/>
      <c r="H11" s="33"/>
      <c r="I11" s="33"/>
      <c r="J11" s="33">
        <f>$C$31*('E Balans VL '!D11+'E Balans VL '!E11)/100/3.6*1000000</f>
        <v>0</v>
      </c>
      <c r="K11" s="33"/>
      <c r="L11" s="33"/>
      <c r="M11" s="33"/>
      <c r="N11" s="33">
        <f>$C$31*'E Balans VL '!Y11/100/3.6*1000000</f>
        <v>5.6492901185399651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26768.68145</v>
      </c>
      <c r="C16" s="21">
        <f t="shared" ca="1" si="1"/>
        <v>0</v>
      </c>
      <c r="D16" s="21">
        <f t="shared" ca="1" si="1"/>
        <v>28099.555811800001</v>
      </c>
      <c r="E16" s="21">
        <f t="shared" si="1"/>
        <v>382.04436370101752</v>
      </c>
      <c r="F16" s="21">
        <f t="shared" ca="1" si="1"/>
        <v>4780.0081194827844</v>
      </c>
      <c r="G16" s="21">
        <f t="shared" si="1"/>
        <v>0</v>
      </c>
      <c r="H16" s="21">
        <f t="shared" si="1"/>
        <v>0</v>
      </c>
      <c r="I16" s="21">
        <f t="shared" si="1"/>
        <v>0</v>
      </c>
      <c r="J16" s="21">
        <f t="shared" si="1"/>
        <v>8.8697753756917311E-2</v>
      </c>
      <c r="K16" s="21">
        <f t="shared" si="1"/>
        <v>0</v>
      </c>
      <c r="L16" s="21">
        <f t="shared" ca="1" si="1"/>
        <v>0</v>
      </c>
      <c r="M16" s="21">
        <f t="shared" si="1"/>
        <v>0</v>
      </c>
      <c r="N16" s="21">
        <f t="shared" ca="1" si="1"/>
        <v>3541.2156201504445</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0.16049932787816043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4296.3553809095811</v>
      </c>
      <c r="C20" s="23">
        <f t="shared" ref="C20:P20" ca="1" si="2">C16*C18</f>
        <v>0</v>
      </c>
      <c r="D20" s="23">
        <f t="shared" ca="1" si="2"/>
        <v>5676.1102739836006</v>
      </c>
      <c r="E20" s="23">
        <f t="shared" si="2"/>
        <v>86.724070560130983</v>
      </c>
      <c r="F20" s="23">
        <f t="shared" ca="1" si="2"/>
        <v>1276.2621679019035</v>
      </c>
      <c r="G20" s="23">
        <f t="shared" si="2"/>
        <v>0</v>
      </c>
      <c r="H20" s="23">
        <f t="shared" si="2"/>
        <v>0</v>
      </c>
      <c r="I20" s="23">
        <f t="shared" si="2"/>
        <v>0</v>
      </c>
      <c r="J20" s="23">
        <f t="shared" si="2"/>
        <v>3.1399004829948729E-2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5827.0084000000006</v>
      </c>
      <c r="C26" s="39">
        <f>IF(ISERROR(B26*3.6/1000000/'E Balans VL '!Z12*100),0,B26*3.6/1000000/'E Balans VL '!Z12*100)</f>
        <v>0.12317372684908182</v>
      </c>
      <c r="D26" s="237" t="s">
        <v>754</v>
      </c>
      <c r="F26" s="6"/>
    </row>
    <row r="27" spans="1:18">
      <c r="A27" s="231" t="s">
        <v>53</v>
      </c>
      <c r="B27" s="33">
        <f>IF(ISERROR(TER_horeca_ele_kWh/1000),0,TER_horeca_ele_kWh/1000)</f>
        <v>3645.2657999999997</v>
      </c>
      <c r="C27" s="39">
        <f>IF(ISERROR(B27*3.6/1000000/'E Balans VL '!Z9*100),0,B27*3.6/1000000/'E Balans VL '!Z9*100)</f>
        <v>0.28735494435407422</v>
      </c>
      <c r="D27" s="237" t="s">
        <v>754</v>
      </c>
      <c r="F27" s="6"/>
    </row>
    <row r="28" spans="1:18">
      <c r="A28" s="171" t="s">
        <v>52</v>
      </c>
      <c r="B28" s="33">
        <f>IF(ISERROR(TER_handel_ele_kWh/1000),0,TER_handel_ele_kWh/1000)</f>
        <v>8118.4255499999999</v>
      </c>
      <c r="C28" s="39">
        <f>IF(ISERROR(B28*3.6/1000000/'E Balans VL '!Z13*100),0,B28*3.6/1000000/'E Balans VL '!Z13*100)</f>
        <v>0.23562951157589918</v>
      </c>
      <c r="D28" s="237" t="s">
        <v>754</v>
      </c>
      <c r="F28" s="6"/>
    </row>
    <row r="29" spans="1:18">
      <c r="A29" s="231" t="s">
        <v>51</v>
      </c>
      <c r="B29" s="33">
        <f>IF(ISERROR(TER_gezond_ele_kWh/1000),0,TER_gezond_ele_kWh/1000)</f>
        <v>3084.1610000000001</v>
      </c>
      <c r="C29" s="39">
        <f>IF(ISERROR(B29*3.6/1000000/'E Balans VL '!Z10*100),0,B29*3.6/1000000/'E Balans VL '!Z10*100)</f>
        <v>0.32481279656040635</v>
      </c>
      <c r="D29" s="237" t="s">
        <v>754</v>
      </c>
      <c r="F29" s="6"/>
    </row>
    <row r="30" spans="1:18">
      <c r="A30" s="231" t="s">
        <v>50</v>
      </c>
      <c r="B30" s="33">
        <f>IF(ISERROR(TER_ander_ele_kWh/1000),0,TER_ander_ele_kWh/1000)</f>
        <v>4086.30915</v>
      </c>
      <c r="C30" s="39">
        <f>IF(ISERROR(B30*3.6/1000000/'E Balans VL '!Z14*100),0,B30*3.6/1000000/'E Balans VL '!Z14*100)</f>
        <v>0.30140705044593241</v>
      </c>
      <c r="D30" s="237" t="s">
        <v>754</v>
      </c>
      <c r="F30" s="6"/>
    </row>
    <row r="31" spans="1:18">
      <c r="A31" s="231" t="s">
        <v>55</v>
      </c>
      <c r="B31" s="33">
        <f>IF(ISERROR(TER_onderwijs_ele_kWh/1000),0,TER_onderwijs_ele_kWh/1000)</f>
        <v>2007.5115499999999</v>
      </c>
      <c r="C31" s="39">
        <f>IF(ISERROR(B31*3.6/1000000/'E Balans VL '!Z11*100),0,B31*3.6/1000000/'E Balans VL '!Z11*100)</f>
        <v>0.49855915524405692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6970.3647499999988</v>
      </c>
      <c r="C5" s="17">
        <f>IF(ISERROR('Eigen informatie GS &amp; warmtenet'!B59),0,'Eigen informatie GS &amp; warmtenet'!B59)</f>
        <v>0</v>
      </c>
      <c r="D5" s="30">
        <f>SUM(D6:D15)</f>
        <v>4403.0888264000005</v>
      </c>
      <c r="E5" s="17">
        <f>SUM(E6:E15)</f>
        <v>735.85732519160297</v>
      </c>
      <c r="F5" s="17">
        <f>SUM(F6:F15)</f>
        <v>2787.3072116315552</v>
      </c>
      <c r="G5" s="18"/>
      <c r="H5" s="17"/>
      <c r="I5" s="17"/>
      <c r="J5" s="17">
        <f>SUM(J6:J15)</f>
        <v>3.8432338831873016</v>
      </c>
      <c r="K5" s="17"/>
      <c r="L5" s="17"/>
      <c r="M5" s="17"/>
      <c r="N5" s="17">
        <f>SUM(N6:N15)</f>
        <v>1706.5507212185266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1235.662</v>
      </c>
      <c r="C8" s="33"/>
      <c r="D8" s="37">
        <f>IF( ISERROR(IND_metaal_Gas_kWH/1000),0,IND_metaal_Gas_kWH/1000)*0.902</f>
        <v>546.75325320000002</v>
      </c>
      <c r="E8" s="33">
        <f>C30*'E Balans VL '!I18/100/3.6*1000000</f>
        <v>11.360718676291</v>
      </c>
      <c r="F8" s="33">
        <f>C30*'E Balans VL '!L18/100/3.6*1000000+C30*'E Balans VL '!N18/100/3.6*1000000</f>
        <v>115.86395624770616</v>
      </c>
      <c r="G8" s="34"/>
      <c r="H8" s="33"/>
      <c r="I8" s="33"/>
      <c r="J8" s="40">
        <f>C30*'E Balans VL '!D18/100/3.6*1000000+C30*'E Balans VL '!E18/100/3.6*1000000</f>
        <v>0</v>
      </c>
      <c r="K8" s="33"/>
      <c r="L8" s="33"/>
      <c r="M8" s="33"/>
      <c r="N8" s="33">
        <f>C30*'E Balans VL '!Y18/100/3.6*1000000</f>
        <v>17.628760447446496</v>
      </c>
      <c r="O8" s="33"/>
      <c r="P8" s="33"/>
      <c r="R8" s="32"/>
    </row>
    <row r="9" spans="1:18">
      <c r="A9" s="6" t="s">
        <v>33</v>
      </c>
      <c r="B9" s="37">
        <f t="shared" si="0"/>
        <v>2239.3601999999996</v>
      </c>
      <c r="C9" s="33"/>
      <c r="D9" s="37">
        <f>IF( ISERROR(IND_andere_gas_kWh/1000),0,IND_andere_gas_kWh/1000)*0.902</f>
        <v>2578.9051332000008</v>
      </c>
      <c r="E9" s="33">
        <f>C31*'E Balans VL '!I19/100/3.6*1000000</f>
        <v>654.60858166106959</v>
      </c>
      <c r="F9" s="33">
        <f>C31*'E Balans VL '!L19/100/3.6*1000000+C31*'E Balans VL '!N19/100/3.6*1000000</f>
        <v>1799.4954246921088</v>
      </c>
      <c r="G9" s="34"/>
      <c r="H9" s="33"/>
      <c r="I9" s="33"/>
      <c r="J9" s="40">
        <f>C31*'E Balans VL '!D19/100/3.6*1000000+C31*'E Balans VL '!E19/100/3.6*1000000</f>
        <v>0</v>
      </c>
      <c r="K9" s="33"/>
      <c r="L9" s="33"/>
      <c r="M9" s="33"/>
      <c r="N9" s="33">
        <f>C31*'E Balans VL '!Y19/100/3.6*1000000</f>
        <v>739.91934009434169</v>
      </c>
      <c r="O9" s="33"/>
      <c r="P9" s="33"/>
      <c r="R9" s="32"/>
    </row>
    <row r="10" spans="1:18">
      <c r="A10" s="6" t="s">
        <v>41</v>
      </c>
      <c r="B10" s="37">
        <f t="shared" si="0"/>
        <v>971.15099999999995</v>
      </c>
      <c r="C10" s="33"/>
      <c r="D10" s="37">
        <f>IF( ISERROR(IND_voed_gas_kWh/1000),0,IND_voed_gas_kWh/1000)*0.902</f>
        <v>1114.541868</v>
      </c>
      <c r="E10" s="33">
        <f>C32*'E Balans VL '!I20/100/3.6*1000000</f>
        <v>2.0544849983745981</v>
      </c>
      <c r="F10" s="33">
        <f>C32*'E Balans VL '!L20/100/3.6*1000000+C32*'E Balans VL '!N20/100/3.6*1000000</f>
        <v>61.746772581656494</v>
      </c>
      <c r="G10" s="34"/>
      <c r="H10" s="33"/>
      <c r="I10" s="33"/>
      <c r="J10" s="40">
        <f>C32*'E Balans VL '!D20/100/3.6*1000000+C32*'E Balans VL '!E20/100/3.6*1000000</f>
        <v>0</v>
      </c>
      <c r="K10" s="33"/>
      <c r="L10" s="33"/>
      <c r="M10" s="33"/>
      <c r="N10" s="33">
        <f>C32*'E Balans VL '!Y20/100/3.6*1000000</f>
        <v>67.019002552238092</v>
      </c>
      <c r="O10" s="33"/>
      <c r="P10" s="33"/>
      <c r="R10" s="32"/>
    </row>
    <row r="11" spans="1:18">
      <c r="A11" s="6" t="s">
        <v>40</v>
      </c>
      <c r="B11" s="37">
        <f t="shared" si="0"/>
        <v>70.553550000000001</v>
      </c>
      <c r="C11" s="33"/>
      <c r="D11" s="37">
        <f>IF( ISERROR(IND_textiel_gas_kWh/1000),0,IND_textiel_gas_kWh/1000)*0.902</f>
        <v>0</v>
      </c>
      <c r="E11" s="33">
        <f>C33*'E Balans VL '!I21/100/3.6*1000000</f>
        <v>0.20953796061460045</v>
      </c>
      <c r="F11" s="33">
        <f>C33*'E Balans VL '!L21/100/3.6*1000000+C33*'E Balans VL '!N21/100/3.6*1000000</f>
        <v>7.1278455353891559</v>
      </c>
      <c r="G11" s="34"/>
      <c r="H11" s="33"/>
      <c r="I11" s="33"/>
      <c r="J11" s="40">
        <f>C33*'E Balans VL '!D21/100/3.6*1000000+C33*'E Balans VL '!E21/100/3.6*1000000</f>
        <v>0</v>
      </c>
      <c r="K11" s="33"/>
      <c r="L11" s="33"/>
      <c r="M11" s="33"/>
      <c r="N11" s="33">
        <f>C33*'E Balans VL '!Y21/100/3.6*1000000</f>
        <v>3.8912534438717352</v>
      </c>
      <c r="O11" s="33"/>
      <c r="P11" s="33"/>
      <c r="R11" s="32"/>
    </row>
    <row r="12" spans="1:18">
      <c r="A12" s="6" t="s">
        <v>37</v>
      </c>
      <c r="B12" s="37">
        <f t="shared" si="0"/>
        <v>2326.7890000000002</v>
      </c>
      <c r="C12" s="33"/>
      <c r="D12" s="37">
        <f>IF( ISERROR(IND_min_gas_kWh/1000),0,IND_min_gas_kWh/1000)*0.902</f>
        <v>162.88857200000001</v>
      </c>
      <c r="E12" s="33">
        <f>C34*'E Balans VL '!I22/100/3.6*1000000</f>
        <v>67.444032174394223</v>
      </c>
      <c r="F12" s="33">
        <f>C34*'E Balans VL '!L22/100/3.6*1000000+C34*'E Balans VL '!N22/100/3.6*1000000</f>
        <v>799.9763515017014</v>
      </c>
      <c r="G12" s="34"/>
      <c r="H12" s="33"/>
      <c r="I12" s="33"/>
      <c r="J12" s="40">
        <f>C34*'E Balans VL '!D22/100/3.6*1000000+C34*'E Balans VL '!E22/100/3.6*1000000</f>
        <v>3.8236154944063174</v>
      </c>
      <c r="K12" s="33"/>
      <c r="L12" s="33"/>
      <c r="M12" s="33"/>
      <c r="N12" s="33">
        <f>C34*'E Balans VL '!Y22/100/3.6*1000000</f>
        <v>509.3723489013949</v>
      </c>
      <c r="O12" s="33"/>
      <c r="P12" s="33"/>
      <c r="R12" s="32"/>
    </row>
    <row r="13" spans="1:18">
      <c r="A13" s="6" t="s">
        <v>39</v>
      </c>
      <c r="B13" s="37">
        <f t="shared" si="0"/>
        <v>126.849</v>
      </c>
      <c r="C13" s="33"/>
      <c r="D13" s="37">
        <f>IF( ISERROR(IND_papier_gas_kWh/1000),0,IND_papier_gas_kWh/1000)*0.902</f>
        <v>0</v>
      </c>
      <c r="E13" s="33">
        <f>C35*'E Balans VL '!I23/100/3.6*1000000</f>
        <v>0.17996972085890514</v>
      </c>
      <c r="F13" s="33">
        <f>C35*'E Balans VL '!L23/100/3.6*1000000+C35*'E Balans VL '!N23/100/3.6*1000000</f>
        <v>3.0968610729931969</v>
      </c>
      <c r="G13" s="34"/>
      <c r="H13" s="33"/>
      <c r="I13" s="33"/>
      <c r="J13" s="40">
        <f>C35*'E Balans VL '!D23/100/3.6*1000000+C35*'E Balans VL '!E23/100/3.6*1000000</f>
        <v>1.9618388780984302E-2</v>
      </c>
      <c r="K13" s="33"/>
      <c r="L13" s="33"/>
      <c r="M13" s="33"/>
      <c r="N13" s="33">
        <f>C35*'E Balans VL '!Y23/100/3.6*1000000</f>
        <v>368.72001577923356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6970.3647499999988</v>
      </c>
      <c r="C18" s="21">
        <f>C5+C16</f>
        <v>0</v>
      </c>
      <c r="D18" s="21">
        <f>MAX((D5+D16),0)</f>
        <v>4403.0888264000005</v>
      </c>
      <c r="E18" s="21">
        <f>MAX((E5+E16),0)</f>
        <v>735.85732519160297</v>
      </c>
      <c r="F18" s="21">
        <f>MAX((F5+F16),0)</f>
        <v>2787.3072116315552</v>
      </c>
      <c r="G18" s="21"/>
      <c r="H18" s="21"/>
      <c r="I18" s="21"/>
      <c r="J18" s="21">
        <f>MAX((J5+J16),0)</f>
        <v>3.8432338831873016</v>
      </c>
      <c r="K18" s="21"/>
      <c r="L18" s="21">
        <f>MAX((L5+L16),0)</f>
        <v>0</v>
      </c>
      <c r="M18" s="21"/>
      <c r="N18" s="21">
        <f>MAX((N5+N16),0)</f>
        <v>1706.5507212185266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0.16049932787816043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1118.7388574406216</v>
      </c>
      <c r="C22" s="23">
        <f ca="1">C18*C20</f>
        <v>0</v>
      </c>
      <c r="D22" s="23">
        <f>D18*D20</f>
        <v>889.42394293280017</v>
      </c>
      <c r="E22" s="23">
        <f>E18*E20</f>
        <v>167.03961281849388</v>
      </c>
      <c r="F22" s="23">
        <f>F18*F20</f>
        <v>744.21102550562523</v>
      </c>
      <c r="G22" s="23"/>
      <c r="H22" s="23"/>
      <c r="I22" s="23"/>
      <c r="J22" s="23">
        <f>J18*J20</f>
        <v>1.3605047946483046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1235.662</v>
      </c>
      <c r="C30" s="39">
        <f>IF(ISERROR(B30*3.6/1000000/'E Balans VL '!Z18*100),0,B30*3.6/1000000/'E Balans VL '!Z18*100)</f>
        <v>7.0028133984599616E-2</v>
      </c>
      <c r="D30" s="237" t="s">
        <v>754</v>
      </c>
    </row>
    <row r="31" spans="1:18">
      <c r="A31" s="6" t="s">
        <v>33</v>
      </c>
      <c r="B31" s="37">
        <f>IF( ISERROR(IND_ander_ele_kWh/1000),0,IND_ander_ele_kWh/1000)</f>
        <v>2239.3601999999996</v>
      </c>
      <c r="C31" s="39">
        <f>IF(ISERROR(B31*3.6/1000000/'E Balans VL '!Z19*100),0,B31*3.6/1000000/'E Balans VL '!Z19*100)</f>
        <v>0.10156805413841782</v>
      </c>
      <c r="D31" s="237" t="s">
        <v>754</v>
      </c>
    </row>
    <row r="32" spans="1:18">
      <c r="A32" s="171" t="s">
        <v>41</v>
      </c>
      <c r="B32" s="37">
        <f>IF( ISERROR(IND_voed_ele_kWh/1000),0,IND_voed_ele_kWh/1000)</f>
        <v>971.15099999999995</v>
      </c>
      <c r="C32" s="39">
        <f>IF(ISERROR(B32*3.6/1000000/'E Balans VL '!Z20*100),0,B32*3.6/1000000/'E Balans VL '!Z20*100)</f>
        <v>3.0042109083293182E-2</v>
      </c>
      <c r="D32" s="237" t="s">
        <v>754</v>
      </c>
    </row>
    <row r="33" spans="1:5">
      <c r="A33" s="171" t="s">
        <v>40</v>
      </c>
      <c r="B33" s="37">
        <f>IF( ISERROR(IND_textiel_ele_kWh/1000),0,IND_textiel_ele_kWh/1000)</f>
        <v>70.553550000000001</v>
      </c>
      <c r="C33" s="39">
        <f>IF(ISERROR(B33*3.6/1000000/'E Balans VL '!Z21*100),0,B33*3.6/1000000/'E Balans VL '!Z21*100)</f>
        <v>9.1993986773580075E-3</v>
      </c>
      <c r="D33" s="237" t="s">
        <v>754</v>
      </c>
    </row>
    <row r="34" spans="1:5">
      <c r="A34" s="171" t="s">
        <v>37</v>
      </c>
      <c r="B34" s="37">
        <f>IF( ISERROR(IND_min_ele_kWh/1000),0,IND_min_ele_kWh/1000)</f>
        <v>2326.7890000000002</v>
      </c>
      <c r="C34" s="39">
        <f>IF(ISERROR(B34*3.6/1000000/'E Balans VL '!Z22*100),0,B34*3.6/1000000/'E Balans VL '!Z22*100)</f>
        <v>0.41851674611927031</v>
      </c>
      <c r="D34" s="237" t="s">
        <v>754</v>
      </c>
    </row>
    <row r="35" spans="1:5">
      <c r="A35" s="171" t="s">
        <v>39</v>
      </c>
      <c r="B35" s="37">
        <f>IF( ISERROR(IND_papier_ele_kWh/1000),0,IND_papier_ele_kWh/1000)</f>
        <v>126.849</v>
      </c>
      <c r="C35" s="39">
        <f>IF(ISERROR(B35*3.6/1000000/'E Balans VL '!Z22*100),0,B35*3.6/1000000/'E Balans VL '!Z22*100)</f>
        <v>2.2816177456779843E-2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2214.37</v>
      </c>
      <c r="C5" s="17">
        <f>'Eigen informatie GS &amp; warmtenet'!B60</f>
        <v>0</v>
      </c>
      <c r="D5" s="30">
        <f>IF(ISERROR(SUM(LB_lb_gas_kWh,LB_rest_gas_kWh,onbekend_gas_kWh)/1000),0,SUM(LB_lb_gas_kWh,LB_rest_gas_kWh,onbekend_gas_kWh)/1000)*0.902</f>
        <v>1399.4295480000001</v>
      </c>
      <c r="E5" s="17">
        <f>B17*'E Balans VL '!I25/3.6*1000000/100</f>
        <v>65.087097766629469</v>
      </c>
      <c r="F5" s="17">
        <f>B17*('E Balans VL '!L25/3.6*1000000+'E Balans VL '!N25/3.6*1000000)/100</f>
        <v>9224.9457617257831</v>
      </c>
      <c r="G5" s="18"/>
      <c r="H5" s="17"/>
      <c r="I5" s="17"/>
      <c r="J5" s="17">
        <f>('E Balans VL '!D25+'E Balans VL '!E25)/3.6*1000000*landbouw!B17/100</f>
        <v>320.81465885990315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2214.37</v>
      </c>
      <c r="C8" s="21">
        <f>C5+C6</f>
        <v>0</v>
      </c>
      <c r="D8" s="21">
        <f>MAX((D5+D6),0)</f>
        <v>1399.4295480000001</v>
      </c>
      <c r="E8" s="21">
        <f>MAX((E5+E6),0)</f>
        <v>65.087097766629469</v>
      </c>
      <c r="F8" s="21">
        <f>MAX((F5+F6),0)</f>
        <v>9224.9457617257831</v>
      </c>
      <c r="G8" s="21"/>
      <c r="H8" s="21"/>
      <c r="I8" s="21"/>
      <c r="J8" s="21">
        <f>MAX((J5+J6),0)</f>
        <v>320.81465885990315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0.16049932787816043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355.40489667356212</v>
      </c>
      <c r="C12" s="23">
        <f ca="1">C8*C10</f>
        <v>0</v>
      </c>
      <c r="D12" s="23">
        <f>D8*D10</f>
        <v>282.68476869600005</v>
      </c>
      <c r="E12" s="23">
        <f>E8*E10</f>
        <v>14.77477119302489</v>
      </c>
      <c r="F12" s="23">
        <f>F8*F10</f>
        <v>2463.0605183807843</v>
      </c>
      <c r="G12" s="23"/>
      <c r="H12" s="23"/>
      <c r="I12" s="23"/>
      <c r="J12" s="23">
        <f>J8*J10</f>
        <v>113.56838923640571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0.3142260503740017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473.73079660573484</v>
      </c>
      <c r="C26" s="247">
        <f>B26*'GWP N2O_CH4'!B5</f>
        <v>9948.3467287204312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170.21275218711818</v>
      </c>
      <c r="C27" s="247">
        <f>B27*'GWP N2O_CH4'!B5</f>
        <v>3574.4677959294818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6.0748356546614239</v>
      </c>
      <c r="C28" s="247">
        <f>B28*'GWP N2O_CH4'!B4</f>
        <v>1883.1990529450413</v>
      </c>
      <c r="D28" s="50"/>
    </row>
    <row r="29" spans="1:4">
      <c r="A29" s="41" t="s">
        <v>277</v>
      </c>
      <c r="B29" s="247">
        <f>B34*'ha_N2O bodem landbouw'!B4</f>
        <v>23.235801349423102</v>
      </c>
      <c r="C29" s="247">
        <f>B29*'GWP N2O_CH4'!B4</f>
        <v>7203.0984183211622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5.3023297938046372E-3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1.7726366715422831E-4</v>
      </c>
      <c r="C5" s="463" t="s">
        <v>211</v>
      </c>
      <c r="D5" s="448">
        <f>SUM(D6:D11)</f>
        <v>6.1890833791691509E-4</v>
      </c>
      <c r="E5" s="448">
        <f>SUM(E6:E11)</f>
        <v>8.2539798028167751E-4</v>
      </c>
      <c r="F5" s="461" t="s">
        <v>211</v>
      </c>
      <c r="G5" s="448">
        <f>SUM(G6:G11)</f>
        <v>0.26465851173556743</v>
      </c>
      <c r="H5" s="448">
        <f>SUM(H6:H11)</f>
        <v>6.9758622296894279E-2</v>
      </c>
      <c r="I5" s="463" t="s">
        <v>211</v>
      </c>
      <c r="J5" s="463" t="s">
        <v>211</v>
      </c>
      <c r="K5" s="463" t="s">
        <v>211</v>
      </c>
      <c r="L5" s="463" t="s">
        <v>211</v>
      </c>
      <c r="M5" s="448">
        <f>SUM(M6:M11)</f>
        <v>1.7533123684208941E-2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1.3988812728536835E-4</v>
      </c>
      <c r="C6" s="449"/>
      <c r="D6" s="962">
        <f>vkm_2011_GW_PW*SUMIFS(TableVerdeelsleutelVkm[CNG],TableVerdeelsleutelVkm[Voertuigtype],"Lichte voertuigen")*SUMIFS(TableECFTransport[EnergieConsumptieFactor (PJ per km)],TableECFTransport[Index],CONCATENATE($A6,"_CNG_CNG"))</f>
        <v>4.1958409337416287E-4</v>
      </c>
      <c r="E6" s="962">
        <f>vkm_2011_GW_PW*SUMIFS(TableVerdeelsleutelVkm[LPG],TableVerdeelsleutelVkm[Voertuigtype],"Lichte voertuigen")*SUMIFS(TableECFTransport[EnergieConsumptieFactor (PJ per km)],TableECFTransport[Index],CONCATENATE($A6,"_LPG_LPG"))</f>
        <v>5.7321214183386412E-4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0.14820638342524894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4.7714515632144884E-2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1.0075047924000701E-2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5.0079596281353701E-2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1.5260573686433417E-5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2.9264853173523826E-3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3.7375539868859958E-5</v>
      </c>
      <c r="C8" s="449"/>
      <c r="D8" s="451">
        <f>vkm_2011_NGW_PW*SUMIFS(TableVerdeelsleutelVkm[CNG],TableVerdeelsleutelVkm[Voertuigtype],"Lichte voertuigen")*SUMIFS(TableECFTransport[EnergieConsumptieFactor (PJ per km)],TableECFTransport[Index],CONCATENATE($A8,"_CNG_CNG"))</f>
        <v>1.9932424454275222E-4</v>
      </c>
      <c r="E8" s="451">
        <f>vkm_2011_NGW_PW*SUMIFS(TableVerdeelsleutelVkm[LPG],TableVerdeelsleutelVkm[Voertuigtype],"Lichte voertuigen")*SUMIFS(TableECFTransport[EnergieConsumptieFactor (PJ per km)],TableECFTransport[Index],CONCATENATE($A8,"_LPG_LPG"))</f>
        <v>2.5218583844781344E-4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6.0762946905564601E-2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2.2027236849519564E-2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4.2037878862555616E-3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5.6095851234002053E-3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1.6092415434024044E-6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3.2780255660029637E-4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49.239907542841202</v>
      </c>
      <c r="C14" s="21"/>
      <c r="D14" s="21">
        <f t="shared" ref="D14:M14" si="0">((D5)*10^9/3600)+D12</f>
        <v>171.91898275469862</v>
      </c>
      <c r="E14" s="21">
        <f t="shared" si="0"/>
        <v>229.27721674491045</v>
      </c>
      <c r="F14" s="21"/>
      <c r="G14" s="21">
        <f t="shared" si="0"/>
        <v>73516.253259879843</v>
      </c>
      <c r="H14" s="21">
        <f t="shared" si="0"/>
        <v>19377.395082470633</v>
      </c>
      <c r="I14" s="21"/>
      <c r="J14" s="21"/>
      <c r="K14" s="21"/>
      <c r="L14" s="21"/>
      <c r="M14" s="21">
        <f t="shared" si="0"/>
        <v>4870.3121345024838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0.16049932787816043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7.9029720654087754</v>
      </c>
      <c r="C18" s="23"/>
      <c r="D18" s="23">
        <f t="shared" ref="D18:M18" si="1">D14*D16</f>
        <v>34.727634516449122</v>
      </c>
      <c r="E18" s="23">
        <f t="shared" si="1"/>
        <v>52.045928201094675</v>
      </c>
      <c r="F18" s="23"/>
      <c r="G18" s="23">
        <f t="shared" si="1"/>
        <v>19628.83962038792</v>
      </c>
      <c r="H18" s="23">
        <f t="shared" si="1"/>
        <v>4824.9713755351877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7.9911120376943492E-3</v>
      </c>
      <c r="H50" s="321">
        <f t="shared" si="2"/>
        <v>0</v>
      </c>
      <c r="I50" s="321">
        <f t="shared" si="2"/>
        <v>0</v>
      </c>
      <c r="J50" s="321">
        <f t="shared" si="2"/>
        <v>0</v>
      </c>
      <c r="K50" s="321">
        <f t="shared" si="2"/>
        <v>0</v>
      </c>
      <c r="L50" s="321">
        <f t="shared" si="2"/>
        <v>0</v>
      </c>
      <c r="M50" s="321">
        <f t="shared" si="2"/>
        <v>4.5385988636655094E-4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7.9911120376943492E-3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4.5385988636655094E-4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2219.7533438039859</v>
      </c>
      <c r="H54" s="21">
        <f t="shared" si="3"/>
        <v>0</v>
      </c>
      <c r="I54" s="21">
        <f t="shared" si="3"/>
        <v>0</v>
      </c>
      <c r="J54" s="21">
        <f t="shared" si="3"/>
        <v>0</v>
      </c>
      <c r="K54" s="21">
        <f t="shared" si="3"/>
        <v>0</v>
      </c>
      <c r="L54" s="21">
        <f t="shared" si="3"/>
        <v>0</v>
      </c>
      <c r="M54" s="21">
        <f t="shared" si="3"/>
        <v>126.07219065737526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0.16049932787816043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592.67414279566424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10334.121279407986</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11802.247451503887</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22136.368730911872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28192.189450000002</v>
      </c>
      <c r="D10" s="718">
        <f ca="1">tertiair!C16</f>
        <v>0</v>
      </c>
      <c r="E10" s="718">
        <f ca="1">tertiair!D16</f>
        <v>28099.555811800001</v>
      </c>
      <c r="F10" s="718">
        <f>tertiair!E16</f>
        <v>382.04436370101752</v>
      </c>
      <c r="G10" s="718">
        <f ca="1">tertiair!F16</f>
        <v>4780.0081194827844</v>
      </c>
      <c r="H10" s="718">
        <f>tertiair!G16</f>
        <v>0</v>
      </c>
      <c r="I10" s="718">
        <f>tertiair!H16</f>
        <v>0</v>
      </c>
      <c r="J10" s="718">
        <f>tertiair!I16</f>
        <v>0</v>
      </c>
      <c r="K10" s="718">
        <f>tertiair!J16</f>
        <v>8.8697753756917311E-2</v>
      </c>
      <c r="L10" s="718">
        <f>tertiair!K16</f>
        <v>0</v>
      </c>
      <c r="M10" s="718">
        <f ca="1">tertiair!L16</f>
        <v>0</v>
      </c>
      <c r="N10" s="718">
        <f>tertiair!M16</f>
        <v>0</v>
      </c>
      <c r="O10" s="718">
        <f ca="1">tertiair!N16</f>
        <v>3541.2156201504445</v>
      </c>
      <c r="P10" s="718">
        <f>tertiair!O16</f>
        <v>3.1266666666666669</v>
      </c>
      <c r="Q10" s="719">
        <f>tertiair!P16</f>
        <v>38.133333333333333</v>
      </c>
      <c r="R10" s="721">
        <f ca="1">SUM(C10:Q10)</f>
        <v>65036.362062888009</v>
      </c>
      <c r="S10" s="67"/>
    </row>
    <row r="11" spans="1:19" s="474" customFormat="1">
      <c r="A11" s="870" t="s">
        <v>225</v>
      </c>
      <c r="B11" s="875"/>
      <c r="C11" s="718">
        <f>huishoudens!B8</f>
        <v>43434.714258890344</v>
      </c>
      <c r="D11" s="718">
        <f>huishoudens!C8</f>
        <v>0</v>
      </c>
      <c r="E11" s="718">
        <f>huishoudens!D8</f>
        <v>83403.746196100008</v>
      </c>
      <c r="F11" s="718">
        <f>huishoudens!E8</f>
        <v>8182.9650654076841</v>
      </c>
      <c r="G11" s="718">
        <f>huishoudens!F8</f>
        <v>67928.27531861543</v>
      </c>
      <c r="H11" s="718">
        <f>huishoudens!G8</f>
        <v>0</v>
      </c>
      <c r="I11" s="718">
        <f>huishoudens!H8</f>
        <v>0</v>
      </c>
      <c r="J11" s="718">
        <f>huishoudens!I8</f>
        <v>0</v>
      </c>
      <c r="K11" s="718">
        <f>huishoudens!J8</f>
        <v>0</v>
      </c>
      <c r="L11" s="718">
        <f>huishoudens!K8</f>
        <v>0</v>
      </c>
      <c r="M11" s="718">
        <f>huishoudens!L8</f>
        <v>0</v>
      </c>
      <c r="N11" s="718">
        <f>huishoudens!M8</f>
        <v>0</v>
      </c>
      <c r="O11" s="718">
        <f>huishoudens!N8</f>
        <v>25384.41219148981</v>
      </c>
      <c r="P11" s="718">
        <f>huishoudens!O8</f>
        <v>544.04000000000008</v>
      </c>
      <c r="Q11" s="719">
        <f>huishoudens!P8</f>
        <v>896.13333333333333</v>
      </c>
      <c r="R11" s="721">
        <f>SUM(C11:Q11)</f>
        <v>229774.28636383661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6970.3647499999988</v>
      </c>
      <c r="D13" s="718">
        <f>industrie!C18</f>
        <v>0</v>
      </c>
      <c r="E13" s="718">
        <f>industrie!D18</f>
        <v>4403.0888264000005</v>
      </c>
      <c r="F13" s="718">
        <f>industrie!E18</f>
        <v>735.85732519160297</v>
      </c>
      <c r="G13" s="718">
        <f>industrie!F18</f>
        <v>2787.3072116315552</v>
      </c>
      <c r="H13" s="718">
        <f>industrie!G18</f>
        <v>0</v>
      </c>
      <c r="I13" s="718">
        <f>industrie!H18</f>
        <v>0</v>
      </c>
      <c r="J13" s="718">
        <f>industrie!I18</f>
        <v>0</v>
      </c>
      <c r="K13" s="718">
        <f>industrie!J18</f>
        <v>3.8432338831873016</v>
      </c>
      <c r="L13" s="718">
        <f>industrie!K18</f>
        <v>0</v>
      </c>
      <c r="M13" s="718">
        <f>industrie!L18</f>
        <v>0</v>
      </c>
      <c r="N13" s="718">
        <f>industrie!M18</f>
        <v>0</v>
      </c>
      <c r="O13" s="718">
        <f>industrie!N18</f>
        <v>1706.5507212185266</v>
      </c>
      <c r="P13" s="718">
        <f>industrie!O18</f>
        <v>0</v>
      </c>
      <c r="Q13" s="719">
        <f>industrie!P18</f>
        <v>0</v>
      </c>
      <c r="R13" s="721">
        <f>SUM(C13:Q13)</f>
        <v>16607.012068324872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78597.268458890336</v>
      </c>
      <c r="D15" s="723">
        <f t="shared" ref="D15:Q15" ca="1" si="0">SUM(D9:D14)</f>
        <v>0</v>
      </c>
      <c r="E15" s="723">
        <f t="shared" ca="1" si="0"/>
        <v>115906.39083430001</v>
      </c>
      <c r="F15" s="723">
        <f t="shared" si="0"/>
        <v>9300.866754300303</v>
      </c>
      <c r="G15" s="723">
        <f t="shared" ca="1" si="0"/>
        <v>75495.590649729769</v>
      </c>
      <c r="H15" s="723">
        <f t="shared" si="0"/>
        <v>0</v>
      </c>
      <c r="I15" s="723">
        <f t="shared" si="0"/>
        <v>0</v>
      </c>
      <c r="J15" s="723">
        <f t="shared" si="0"/>
        <v>0</v>
      </c>
      <c r="K15" s="723">
        <f t="shared" si="0"/>
        <v>3.9319316369442188</v>
      </c>
      <c r="L15" s="723">
        <f t="shared" si="0"/>
        <v>0</v>
      </c>
      <c r="M15" s="723">
        <f t="shared" ca="1" si="0"/>
        <v>0</v>
      </c>
      <c r="N15" s="723">
        <f t="shared" si="0"/>
        <v>0</v>
      </c>
      <c r="O15" s="723">
        <f t="shared" ca="1" si="0"/>
        <v>30632.178532858779</v>
      </c>
      <c r="P15" s="723">
        <f t="shared" si="0"/>
        <v>547.16666666666674</v>
      </c>
      <c r="Q15" s="724">
        <f t="shared" si="0"/>
        <v>934.26666666666665</v>
      </c>
      <c r="R15" s="725">
        <f ca="1">SUM(R9:R14)</f>
        <v>311417.66049504949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2219.7533438039859</v>
      </c>
      <c r="I18" s="718">
        <f>transport!H54</f>
        <v>0</v>
      </c>
      <c r="J18" s="718">
        <f>transport!I54</f>
        <v>0</v>
      </c>
      <c r="K18" s="718">
        <f>transport!J54</f>
        <v>0</v>
      </c>
      <c r="L18" s="718">
        <f>transport!K54</f>
        <v>0</v>
      </c>
      <c r="M18" s="718">
        <f>transport!L54</f>
        <v>0</v>
      </c>
      <c r="N18" s="718">
        <f>transport!M54</f>
        <v>126.07219065737526</v>
      </c>
      <c r="O18" s="718">
        <f>transport!N54</f>
        <v>0</v>
      </c>
      <c r="P18" s="718">
        <f>transport!O54</f>
        <v>0</v>
      </c>
      <c r="Q18" s="719">
        <f>transport!P54</f>
        <v>0</v>
      </c>
      <c r="R18" s="721">
        <f>SUM(C18:Q18)</f>
        <v>2345.8255344613613</v>
      </c>
      <c r="S18" s="67"/>
    </row>
    <row r="19" spans="1:19" s="474" customFormat="1" ht="15" thickBot="1">
      <c r="A19" s="870" t="s">
        <v>307</v>
      </c>
      <c r="B19" s="875"/>
      <c r="C19" s="727">
        <f>transport!B14</f>
        <v>49.239907542841202</v>
      </c>
      <c r="D19" s="727">
        <f>transport!C14</f>
        <v>0</v>
      </c>
      <c r="E19" s="727">
        <f>transport!D14</f>
        <v>171.91898275469862</v>
      </c>
      <c r="F19" s="727">
        <f>transport!E14</f>
        <v>229.27721674491045</v>
      </c>
      <c r="G19" s="727">
        <f>transport!F14</f>
        <v>0</v>
      </c>
      <c r="H19" s="727">
        <f>transport!G14</f>
        <v>73516.253259879843</v>
      </c>
      <c r="I19" s="727">
        <f>transport!H14</f>
        <v>19377.395082470633</v>
      </c>
      <c r="J19" s="727">
        <f>transport!I14</f>
        <v>0</v>
      </c>
      <c r="K19" s="727">
        <f>transport!J14</f>
        <v>0</v>
      </c>
      <c r="L19" s="727">
        <f>transport!K14</f>
        <v>0</v>
      </c>
      <c r="M19" s="727">
        <f>transport!L14</f>
        <v>0</v>
      </c>
      <c r="N19" s="727">
        <f>transport!M14</f>
        <v>4870.3121345024838</v>
      </c>
      <c r="O19" s="727">
        <f>transport!N14</f>
        <v>0</v>
      </c>
      <c r="P19" s="727">
        <f>transport!O14</f>
        <v>0</v>
      </c>
      <c r="Q19" s="728">
        <f>transport!P14</f>
        <v>0</v>
      </c>
      <c r="R19" s="729">
        <f>SUM(C19:Q19)</f>
        <v>98214.396583895403</v>
      </c>
      <c r="S19" s="67"/>
    </row>
    <row r="20" spans="1:19" s="474" customFormat="1" ht="15.75" thickBot="1">
      <c r="A20" s="730" t="s">
        <v>230</v>
      </c>
      <c r="B20" s="878"/>
      <c r="C20" s="873">
        <f>SUM(C17:C19)</f>
        <v>49.239907542841202</v>
      </c>
      <c r="D20" s="731">
        <f t="shared" ref="D20:R20" si="1">SUM(D17:D19)</f>
        <v>0</v>
      </c>
      <c r="E20" s="731">
        <f t="shared" si="1"/>
        <v>171.91898275469862</v>
      </c>
      <c r="F20" s="731">
        <f t="shared" si="1"/>
        <v>229.27721674491045</v>
      </c>
      <c r="G20" s="731">
        <f t="shared" si="1"/>
        <v>0</v>
      </c>
      <c r="H20" s="731">
        <f t="shared" si="1"/>
        <v>75736.006603683825</v>
      </c>
      <c r="I20" s="731">
        <f t="shared" si="1"/>
        <v>19377.395082470633</v>
      </c>
      <c r="J20" s="731">
        <f t="shared" si="1"/>
        <v>0</v>
      </c>
      <c r="K20" s="731">
        <f t="shared" si="1"/>
        <v>0</v>
      </c>
      <c r="L20" s="731">
        <f t="shared" si="1"/>
        <v>0</v>
      </c>
      <c r="M20" s="731">
        <f t="shared" si="1"/>
        <v>0</v>
      </c>
      <c r="N20" s="731">
        <f t="shared" si="1"/>
        <v>4996.3843251598591</v>
      </c>
      <c r="O20" s="731">
        <f t="shared" si="1"/>
        <v>0</v>
      </c>
      <c r="P20" s="731">
        <f t="shared" si="1"/>
        <v>0</v>
      </c>
      <c r="Q20" s="732">
        <f t="shared" si="1"/>
        <v>0</v>
      </c>
      <c r="R20" s="733">
        <f t="shared" si="1"/>
        <v>100560.22211835676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2214.37</v>
      </c>
      <c r="D22" s="727">
        <f>+landbouw!C8</f>
        <v>0</v>
      </c>
      <c r="E22" s="727">
        <f>+landbouw!D8</f>
        <v>1399.4295480000001</v>
      </c>
      <c r="F22" s="727">
        <f>+landbouw!E8</f>
        <v>65.087097766629469</v>
      </c>
      <c r="G22" s="727">
        <f>+landbouw!F8</f>
        <v>9224.9457617257831</v>
      </c>
      <c r="H22" s="727">
        <f>+landbouw!G8</f>
        <v>0</v>
      </c>
      <c r="I22" s="727">
        <f>+landbouw!H8</f>
        <v>0</v>
      </c>
      <c r="J22" s="727">
        <f>+landbouw!I8</f>
        <v>0</v>
      </c>
      <c r="K22" s="727">
        <f>+landbouw!J8</f>
        <v>320.81465885990315</v>
      </c>
      <c r="L22" s="727">
        <f>+landbouw!K8</f>
        <v>0</v>
      </c>
      <c r="M22" s="727">
        <f>+landbouw!L8</f>
        <v>0</v>
      </c>
      <c r="N22" s="727">
        <f>+landbouw!M8</f>
        <v>0</v>
      </c>
      <c r="O22" s="727">
        <f>+landbouw!N8</f>
        <v>0</v>
      </c>
      <c r="P22" s="727">
        <f>+landbouw!O8</f>
        <v>0</v>
      </c>
      <c r="Q22" s="728">
        <f>+landbouw!P8</f>
        <v>0</v>
      </c>
      <c r="R22" s="729">
        <f>SUM(C22:Q22)</f>
        <v>13224.647066352316</v>
      </c>
      <c r="S22" s="67"/>
    </row>
    <row r="23" spans="1:19" s="474" customFormat="1" ht="17.25" thickTop="1" thickBot="1">
      <c r="A23" s="734" t="s">
        <v>116</v>
      </c>
      <c r="B23" s="864"/>
      <c r="C23" s="735">
        <f ca="1">C20+C15+C22</f>
        <v>80860.878366433171</v>
      </c>
      <c r="D23" s="735">
        <f t="shared" ref="D23:Q23" ca="1" si="2">D20+D15+D22</f>
        <v>0</v>
      </c>
      <c r="E23" s="735">
        <f t="shared" ca="1" si="2"/>
        <v>117477.7393650547</v>
      </c>
      <c r="F23" s="735">
        <f t="shared" si="2"/>
        <v>9595.2310688118432</v>
      </c>
      <c r="G23" s="735">
        <f t="shared" ca="1" si="2"/>
        <v>84720.536411455556</v>
      </c>
      <c r="H23" s="735">
        <f t="shared" si="2"/>
        <v>75736.006603683825</v>
      </c>
      <c r="I23" s="735">
        <f t="shared" si="2"/>
        <v>19377.395082470633</v>
      </c>
      <c r="J23" s="735">
        <f t="shared" si="2"/>
        <v>0</v>
      </c>
      <c r="K23" s="735">
        <f t="shared" si="2"/>
        <v>324.74659049684738</v>
      </c>
      <c r="L23" s="735">
        <f t="shared" si="2"/>
        <v>0</v>
      </c>
      <c r="M23" s="735">
        <f t="shared" ca="1" si="2"/>
        <v>0</v>
      </c>
      <c r="N23" s="735">
        <f t="shared" si="2"/>
        <v>4996.3843251598591</v>
      </c>
      <c r="O23" s="735">
        <f t="shared" ca="1" si="2"/>
        <v>30632.178532858779</v>
      </c>
      <c r="P23" s="735">
        <f t="shared" si="2"/>
        <v>547.16666666666674</v>
      </c>
      <c r="Q23" s="736">
        <f t="shared" si="2"/>
        <v>934.26666666666665</v>
      </c>
      <c r="R23" s="737">
        <f ca="1">R20+R15+R22</f>
        <v>425202.52967975859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4524.8274581387659</v>
      </c>
      <c r="D36" s="718">
        <f ca="1">tertiair!C20</f>
        <v>0</v>
      </c>
      <c r="E36" s="718">
        <f ca="1">tertiair!D20</f>
        <v>5676.1102739836006</v>
      </c>
      <c r="F36" s="718">
        <f>tertiair!E20</f>
        <v>86.724070560130983</v>
      </c>
      <c r="G36" s="718">
        <f ca="1">tertiair!F20</f>
        <v>1276.2621679019035</v>
      </c>
      <c r="H36" s="718">
        <f>tertiair!G20</f>
        <v>0</v>
      </c>
      <c r="I36" s="718">
        <f>tertiair!H20</f>
        <v>0</v>
      </c>
      <c r="J36" s="718">
        <f>tertiair!I20</f>
        <v>0</v>
      </c>
      <c r="K36" s="718">
        <f>tertiair!J20</f>
        <v>3.1399004829948729E-2</v>
      </c>
      <c r="L36" s="718">
        <f>tertiair!K20</f>
        <v>0</v>
      </c>
      <c r="M36" s="718">
        <f ca="1">tertiair!L20</f>
        <v>0</v>
      </c>
      <c r="N36" s="718">
        <f>tertiair!M20</f>
        <v>0</v>
      </c>
      <c r="O36" s="718">
        <f ca="1">tertiair!N20</f>
        <v>0</v>
      </c>
      <c r="P36" s="718">
        <f>tertiair!O20</f>
        <v>0</v>
      </c>
      <c r="Q36" s="828">
        <f>tertiair!P20</f>
        <v>0</v>
      </c>
      <c r="R36" s="917">
        <f ca="1">SUM(C36:Q36)</f>
        <v>11563.95536958923</v>
      </c>
    </row>
    <row r="37" spans="1:18">
      <c r="A37" s="885" t="s">
        <v>225</v>
      </c>
      <c r="B37" s="892"/>
      <c r="C37" s="718">
        <f ca="1">huishoudens!B12</f>
        <v>6971.2424451318511</v>
      </c>
      <c r="D37" s="718">
        <f ca="1">huishoudens!C12</f>
        <v>0</v>
      </c>
      <c r="E37" s="718">
        <f>huishoudens!D12</f>
        <v>16847.556731612203</v>
      </c>
      <c r="F37" s="718">
        <f>huishoudens!E12</f>
        <v>1857.5330698475443</v>
      </c>
      <c r="G37" s="718">
        <f>huishoudens!F12</f>
        <v>18136.849510070322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43813.181756661921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1118.7388574406216</v>
      </c>
      <c r="D39" s="718">
        <f ca="1">industrie!C22</f>
        <v>0</v>
      </c>
      <c r="E39" s="718">
        <f>industrie!D22</f>
        <v>889.42394293280017</v>
      </c>
      <c r="F39" s="718">
        <f>industrie!E22</f>
        <v>167.03961281849388</v>
      </c>
      <c r="G39" s="718">
        <f>industrie!F22</f>
        <v>744.21102550562523</v>
      </c>
      <c r="H39" s="718">
        <f>industrie!G22</f>
        <v>0</v>
      </c>
      <c r="I39" s="718">
        <f>industrie!H22</f>
        <v>0</v>
      </c>
      <c r="J39" s="718">
        <f>industrie!I22</f>
        <v>0</v>
      </c>
      <c r="K39" s="718">
        <f>industrie!J22</f>
        <v>1.3605047946483046</v>
      </c>
      <c r="L39" s="718">
        <f>industrie!K22</f>
        <v>0</v>
      </c>
      <c r="M39" s="718">
        <f>industrie!L22</f>
        <v>0</v>
      </c>
      <c r="N39" s="718">
        <f>industrie!M22</f>
        <v>0</v>
      </c>
      <c r="O39" s="718">
        <f>industrie!N22</f>
        <v>0</v>
      </c>
      <c r="P39" s="718">
        <f>industrie!O22</f>
        <v>0</v>
      </c>
      <c r="Q39" s="828">
        <f>industrie!P22</f>
        <v>0</v>
      </c>
      <c r="R39" s="918">
        <f ca="1">SUM(C39:Q39)</f>
        <v>2920.7739434921896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12614.808760711239</v>
      </c>
      <c r="D41" s="763">
        <f t="shared" ref="D41:R41" ca="1" si="4">SUM(D35:D40)</f>
        <v>0</v>
      </c>
      <c r="E41" s="763">
        <f t="shared" ca="1" si="4"/>
        <v>23413.090948528603</v>
      </c>
      <c r="F41" s="763">
        <f t="shared" si="4"/>
        <v>2111.2967532261691</v>
      </c>
      <c r="G41" s="763">
        <f t="shared" ca="1" si="4"/>
        <v>20157.32270347785</v>
      </c>
      <c r="H41" s="763">
        <f t="shared" si="4"/>
        <v>0</v>
      </c>
      <c r="I41" s="763">
        <f t="shared" si="4"/>
        <v>0</v>
      </c>
      <c r="J41" s="763">
        <f t="shared" si="4"/>
        <v>0</v>
      </c>
      <c r="K41" s="763">
        <f t="shared" si="4"/>
        <v>1.3919037994782535</v>
      </c>
      <c r="L41" s="763">
        <f t="shared" si="4"/>
        <v>0</v>
      </c>
      <c r="M41" s="763">
        <f t="shared" ca="1" si="4"/>
        <v>0</v>
      </c>
      <c r="N41" s="763">
        <f t="shared" si="4"/>
        <v>0</v>
      </c>
      <c r="O41" s="763">
        <f t="shared" ca="1" si="4"/>
        <v>0</v>
      </c>
      <c r="P41" s="763">
        <f t="shared" si="4"/>
        <v>0</v>
      </c>
      <c r="Q41" s="764">
        <f t="shared" si="4"/>
        <v>0</v>
      </c>
      <c r="R41" s="765">
        <f t="shared" ca="1" si="4"/>
        <v>58297.911069743343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592.67414279566424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592.67414279566424</v>
      </c>
    </row>
    <row r="45" spans="1:18" ht="15" thickBot="1">
      <c r="A45" s="888" t="s">
        <v>307</v>
      </c>
      <c r="B45" s="898"/>
      <c r="C45" s="727">
        <f ca="1">transport!B18</f>
        <v>7.9029720654087754</v>
      </c>
      <c r="D45" s="727">
        <f>transport!C18</f>
        <v>0</v>
      </c>
      <c r="E45" s="727">
        <f>transport!D18</f>
        <v>34.727634516449122</v>
      </c>
      <c r="F45" s="727">
        <f>transport!E18</f>
        <v>52.045928201094675</v>
      </c>
      <c r="G45" s="727">
        <f>transport!F18</f>
        <v>0</v>
      </c>
      <c r="H45" s="727">
        <f>transport!G18</f>
        <v>19628.83962038792</v>
      </c>
      <c r="I45" s="727">
        <f>transport!H18</f>
        <v>4824.9713755351877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24548.487530706061</v>
      </c>
    </row>
    <row r="46" spans="1:18" ht="15.75" thickBot="1">
      <c r="A46" s="886" t="s">
        <v>230</v>
      </c>
      <c r="B46" s="899"/>
      <c r="C46" s="763">
        <f t="shared" ref="C46:R46" ca="1" si="5">SUM(C43:C45)</f>
        <v>7.9029720654087754</v>
      </c>
      <c r="D46" s="763">
        <f t="shared" ca="1" si="5"/>
        <v>0</v>
      </c>
      <c r="E46" s="763">
        <f t="shared" si="5"/>
        <v>34.727634516449122</v>
      </c>
      <c r="F46" s="763">
        <f t="shared" si="5"/>
        <v>52.045928201094675</v>
      </c>
      <c r="G46" s="763">
        <f t="shared" si="5"/>
        <v>0</v>
      </c>
      <c r="H46" s="763">
        <f t="shared" si="5"/>
        <v>20221.513763183586</v>
      </c>
      <c r="I46" s="763">
        <f t="shared" si="5"/>
        <v>4824.9713755351877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25141.161673501727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355.40489667356212</v>
      </c>
      <c r="D48" s="718">
        <f ca="1">+landbouw!C12</f>
        <v>0</v>
      </c>
      <c r="E48" s="718">
        <f>+landbouw!D12</f>
        <v>282.68476869600005</v>
      </c>
      <c r="F48" s="718">
        <f>+landbouw!E12</f>
        <v>14.77477119302489</v>
      </c>
      <c r="G48" s="718">
        <f>+landbouw!F12</f>
        <v>2463.0605183807843</v>
      </c>
      <c r="H48" s="718">
        <f>+landbouw!G12</f>
        <v>0</v>
      </c>
      <c r="I48" s="718">
        <f>+landbouw!H12</f>
        <v>0</v>
      </c>
      <c r="J48" s="718">
        <f>+landbouw!I12</f>
        <v>0</v>
      </c>
      <c r="K48" s="718">
        <f>+landbouw!J12</f>
        <v>113.56838923640571</v>
      </c>
      <c r="L48" s="718">
        <f>+landbouw!K12</f>
        <v>0</v>
      </c>
      <c r="M48" s="718">
        <f>+landbouw!L12</f>
        <v>0</v>
      </c>
      <c r="N48" s="718">
        <f>+landbouw!M12</f>
        <v>0</v>
      </c>
      <c r="O48" s="718">
        <f>+landbouw!N12</f>
        <v>0</v>
      </c>
      <c r="P48" s="718">
        <f>+landbouw!O12</f>
        <v>0</v>
      </c>
      <c r="Q48" s="719">
        <f>+landbouw!P12</f>
        <v>0</v>
      </c>
      <c r="R48" s="761">
        <f ca="1">SUM(C48:Q48)</f>
        <v>3229.4933441797775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12978.116629450211</v>
      </c>
      <c r="D53" s="773">
        <f t="shared" ref="D53:Q53" ca="1" si="6">D41+D46+D48</f>
        <v>0</v>
      </c>
      <c r="E53" s="773">
        <f t="shared" ca="1" si="6"/>
        <v>23730.503351741052</v>
      </c>
      <c r="F53" s="773">
        <f t="shared" si="6"/>
        <v>2178.1174526202885</v>
      </c>
      <c r="G53" s="773">
        <f t="shared" ca="1" si="6"/>
        <v>22620.383221858636</v>
      </c>
      <c r="H53" s="773">
        <f t="shared" si="6"/>
        <v>20221.513763183586</v>
      </c>
      <c r="I53" s="773">
        <f t="shared" si="6"/>
        <v>4824.9713755351877</v>
      </c>
      <c r="J53" s="773">
        <f t="shared" si="6"/>
        <v>0</v>
      </c>
      <c r="K53" s="773">
        <f t="shared" si="6"/>
        <v>114.96029303588396</v>
      </c>
      <c r="L53" s="773">
        <f t="shared" si="6"/>
        <v>0</v>
      </c>
      <c r="M53" s="773">
        <f t="shared" ca="1" si="6"/>
        <v>0</v>
      </c>
      <c r="N53" s="773">
        <f t="shared" si="6"/>
        <v>0</v>
      </c>
      <c r="O53" s="773">
        <f t="shared" ca="1" si="6"/>
        <v>0</v>
      </c>
      <c r="P53" s="773">
        <f>P41+P46+P48</f>
        <v>0</v>
      </c>
      <c r="Q53" s="774">
        <f t="shared" si="6"/>
        <v>0</v>
      </c>
      <c r="R53" s="775">
        <f ca="1">R41+R46+R48</f>
        <v>86668.566087424842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0.16049932787816049</v>
      </c>
      <c r="D55" s="836">
        <f t="shared" ca="1" si="7"/>
        <v>0</v>
      </c>
      <c r="E55" s="836">
        <f t="shared" ca="1" si="7"/>
        <v>0.20200000000000001</v>
      </c>
      <c r="F55" s="836">
        <f t="shared" si="7"/>
        <v>0.22700000000000001</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10334.121279407986</v>
      </c>
      <c r="C64" s="795">
        <f>'lokale energieproductie'!B4</f>
        <v>10334.121279407986</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11802.247451503887</v>
      </c>
      <c r="C66" s="795">
        <f>'lokale energieproductie'!B6</f>
        <v>11802.247451503887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22136.368730911872</v>
      </c>
      <c r="C69" s="803">
        <f>SUM(C64:C68)</f>
        <v>22136.368730911872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43434.714258890344</v>
      </c>
      <c r="C4" s="478">
        <f>huishoudens!C8</f>
        <v>0</v>
      </c>
      <c r="D4" s="478">
        <f>huishoudens!D8</f>
        <v>83403.746196100008</v>
      </c>
      <c r="E4" s="478">
        <f>huishoudens!E8</f>
        <v>8182.9650654076841</v>
      </c>
      <c r="F4" s="478">
        <f>huishoudens!F8</f>
        <v>67928.27531861543</v>
      </c>
      <c r="G4" s="478">
        <f>huishoudens!G8</f>
        <v>0</v>
      </c>
      <c r="H4" s="478">
        <f>huishoudens!H8</f>
        <v>0</v>
      </c>
      <c r="I4" s="478">
        <f>huishoudens!I8</f>
        <v>0</v>
      </c>
      <c r="J4" s="478">
        <f>huishoudens!J8</f>
        <v>0</v>
      </c>
      <c r="K4" s="478">
        <f>huishoudens!K8</f>
        <v>0</v>
      </c>
      <c r="L4" s="478">
        <f>huishoudens!L8</f>
        <v>0</v>
      </c>
      <c r="M4" s="478">
        <f>huishoudens!M8</f>
        <v>0</v>
      </c>
      <c r="N4" s="478">
        <f>huishoudens!N8</f>
        <v>25384.41219148981</v>
      </c>
      <c r="O4" s="478">
        <f>huishoudens!O8</f>
        <v>544.04000000000008</v>
      </c>
      <c r="P4" s="479">
        <f>huishoudens!P8</f>
        <v>896.13333333333333</v>
      </c>
      <c r="Q4" s="480">
        <f>SUM(B4:P4)</f>
        <v>229774.28636383661</v>
      </c>
    </row>
    <row r="5" spans="1:17">
      <c r="A5" s="477" t="s">
        <v>156</v>
      </c>
      <c r="B5" s="478">
        <f ca="1">tertiair!B16</f>
        <v>26768.68145</v>
      </c>
      <c r="C5" s="478">
        <f ca="1">tertiair!C16</f>
        <v>0</v>
      </c>
      <c r="D5" s="478">
        <f ca="1">tertiair!D16</f>
        <v>28099.555811800001</v>
      </c>
      <c r="E5" s="478">
        <f>tertiair!E16</f>
        <v>382.04436370101752</v>
      </c>
      <c r="F5" s="478">
        <f ca="1">tertiair!F16</f>
        <v>4780.0081194827844</v>
      </c>
      <c r="G5" s="478">
        <f>tertiair!G16</f>
        <v>0</v>
      </c>
      <c r="H5" s="478">
        <f>tertiair!H16</f>
        <v>0</v>
      </c>
      <c r="I5" s="478">
        <f>tertiair!I16</f>
        <v>0</v>
      </c>
      <c r="J5" s="478">
        <f>tertiair!J16</f>
        <v>8.8697753756917311E-2</v>
      </c>
      <c r="K5" s="478">
        <f>tertiair!K16</f>
        <v>0</v>
      </c>
      <c r="L5" s="478">
        <f ca="1">tertiair!L16</f>
        <v>0</v>
      </c>
      <c r="M5" s="478">
        <f>tertiair!M16</f>
        <v>0</v>
      </c>
      <c r="N5" s="478">
        <f ca="1">tertiair!N16</f>
        <v>3541.2156201504445</v>
      </c>
      <c r="O5" s="478">
        <f>tertiair!O16</f>
        <v>3.1266666666666669</v>
      </c>
      <c r="P5" s="479">
        <f>tertiair!P16</f>
        <v>38.133333333333333</v>
      </c>
      <c r="Q5" s="477">
        <f t="shared" ref="Q5:Q13" ca="1" si="0">SUM(B5:P5)</f>
        <v>63612.854062888007</v>
      </c>
    </row>
    <row r="6" spans="1:17">
      <c r="A6" s="477" t="s">
        <v>194</v>
      </c>
      <c r="B6" s="478">
        <f>'openbare verlichting'!B8</f>
        <v>1423.508</v>
      </c>
      <c r="C6" s="478"/>
      <c r="D6" s="478"/>
      <c r="E6" s="478"/>
      <c r="F6" s="478"/>
      <c r="G6" s="478"/>
      <c r="H6" s="478"/>
      <c r="I6" s="478"/>
      <c r="J6" s="478"/>
      <c r="K6" s="478"/>
      <c r="L6" s="478"/>
      <c r="M6" s="478"/>
      <c r="N6" s="478"/>
      <c r="O6" s="478"/>
      <c r="P6" s="479"/>
      <c r="Q6" s="477">
        <f t="shared" si="0"/>
        <v>1423.508</v>
      </c>
    </row>
    <row r="7" spans="1:17">
      <c r="A7" s="477" t="s">
        <v>112</v>
      </c>
      <c r="B7" s="478">
        <f>landbouw!B8</f>
        <v>2214.37</v>
      </c>
      <c r="C7" s="478">
        <f>landbouw!C8</f>
        <v>0</v>
      </c>
      <c r="D7" s="478">
        <f>landbouw!D8</f>
        <v>1399.4295480000001</v>
      </c>
      <c r="E7" s="478">
        <f>landbouw!E8</f>
        <v>65.087097766629469</v>
      </c>
      <c r="F7" s="478">
        <f>landbouw!F8</f>
        <v>9224.9457617257831</v>
      </c>
      <c r="G7" s="478">
        <f>landbouw!G8</f>
        <v>0</v>
      </c>
      <c r="H7" s="478">
        <f>landbouw!H8</f>
        <v>0</v>
      </c>
      <c r="I7" s="478">
        <f>landbouw!I8</f>
        <v>0</v>
      </c>
      <c r="J7" s="478">
        <f>landbouw!J8</f>
        <v>320.81465885990315</v>
      </c>
      <c r="K7" s="478">
        <f>landbouw!K8</f>
        <v>0</v>
      </c>
      <c r="L7" s="478">
        <f>landbouw!L8</f>
        <v>0</v>
      </c>
      <c r="M7" s="478">
        <f>landbouw!M8</f>
        <v>0</v>
      </c>
      <c r="N7" s="478">
        <f>landbouw!N8</f>
        <v>0</v>
      </c>
      <c r="O7" s="478">
        <f>landbouw!O8</f>
        <v>0</v>
      </c>
      <c r="P7" s="479">
        <f>landbouw!P8</f>
        <v>0</v>
      </c>
      <c r="Q7" s="477">
        <f t="shared" si="0"/>
        <v>13224.647066352316</v>
      </c>
    </row>
    <row r="8" spans="1:17">
      <c r="A8" s="477" t="s">
        <v>635</v>
      </c>
      <c r="B8" s="478">
        <f>industrie!B18</f>
        <v>6970.3647499999988</v>
      </c>
      <c r="C8" s="478">
        <f>industrie!C18</f>
        <v>0</v>
      </c>
      <c r="D8" s="478">
        <f>industrie!D18</f>
        <v>4403.0888264000005</v>
      </c>
      <c r="E8" s="478">
        <f>industrie!E18</f>
        <v>735.85732519160297</v>
      </c>
      <c r="F8" s="478">
        <f>industrie!F18</f>
        <v>2787.3072116315552</v>
      </c>
      <c r="G8" s="478">
        <f>industrie!G18</f>
        <v>0</v>
      </c>
      <c r="H8" s="478">
        <f>industrie!H18</f>
        <v>0</v>
      </c>
      <c r="I8" s="478">
        <f>industrie!I18</f>
        <v>0</v>
      </c>
      <c r="J8" s="478">
        <f>industrie!J18</f>
        <v>3.8432338831873016</v>
      </c>
      <c r="K8" s="478">
        <f>industrie!K18</f>
        <v>0</v>
      </c>
      <c r="L8" s="478">
        <f>industrie!L18</f>
        <v>0</v>
      </c>
      <c r="M8" s="478">
        <f>industrie!M18</f>
        <v>0</v>
      </c>
      <c r="N8" s="478">
        <f>industrie!N18</f>
        <v>1706.5507212185266</v>
      </c>
      <c r="O8" s="478">
        <f>industrie!O18</f>
        <v>0</v>
      </c>
      <c r="P8" s="479">
        <f>industrie!P18</f>
        <v>0</v>
      </c>
      <c r="Q8" s="477">
        <f t="shared" si="0"/>
        <v>16607.012068324872</v>
      </c>
    </row>
    <row r="9" spans="1:17" s="483" customFormat="1">
      <c r="A9" s="481" t="s">
        <v>561</v>
      </c>
      <c r="B9" s="482">
        <f>transport!B14</f>
        <v>49.239907542841202</v>
      </c>
      <c r="C9" s="482">
        <f>transport!C14</f>
        <v>0</v>
      </c>
      <c r="D9" s="482">
        <f>transport!D14</f>
        <v>171.91898275469862</v>
      </c>
      <c r="E9" s="482">
        <f>transport!E14</f>
        <v>229.27721674491045</v>
      </c>
      <c r="F9" s="482">
        <f>transport!F14</f>
        <v>0</v>
      </c>
      <c r="G9" s="482">
        <f>transport!G14</f>
        <v>73516.253259879843</v>
      </c>
      <c r="H9" s="482">
        <f>transport!H14</f>
        <v>19377.395082470633</v>
      </c>
      <c r="I9" s="482">
        <f>transport!I14</f>
        <v>0</v>
      </c>
      <c r="J9" s="482">
        <f>transport!J14</f>
        <v>0</v>
      </c>
      <c r="K9" s="482">
        <f>transport!K14</f>
        <v>0</v>
      </c>
      <c r="L9" s="482">
        <f>transport!L14</f>
        <v>0</v>
      </c>
      <c r="M9" s="482">
        <f>transport!M14</f>
        <v>4870.3121345024838</v>
      </c>
      <c r="N9" s="482">
        <f>transport!N14</f>
        <v>0</v>
      </c>
      <c r="O9" s="482">
        <f>transport!O14</f>
        <v>0</v>
      </c>
      <c r="P9" s="482">
        <f>transport!P14</f>
        <v>0</v>
      </c>
      <c r="Q9" s="481">
        <f>SUM(B9:P9)</f>
        <v>98214.396583895403</v>
      </c>
    </row>
    <row r="10" spans="1:17">
      <c r="A10" s="477" t="s">
        <v>551</v>
      </c>
      <c r="B10" s="478">
        <f>transport!B54</f>
        <v>0</v>
      </c>
      <c r="C10" s="478">
        <f>transport!C54</f>
        <v>0</v>
      </c>
      <c r="D10" s="478">
        <f>transport!D54</f>
        <v>0</v>
      </c>
      <c r="E10" s="478">
        <f>transport!E54</f>
        <v>0</v>
      </c>
      <c r="F10" s="478">
        <f>transport!F54</f>
        <v>0</v>
      </c>
      <c r="G10" s="478">
        <f>transport!G54</f>
        <v>2219.7533438039859</v>
      </c>
      <c r="H10" s="478">
        <f>transport!H54</f>
        <v>0</v>
      </c>
      <c r="I10" s="478">
        <f>transport!I54</f>
        <v>0</v>
      </c>
      <c r="J10" s="478">
        <f>transport!J54</f>
        <v>0</v>
      </c>
      <c r="K10" s="478">
        <f>transport!K54</f>
        <v>0</v>
      </c>
      <c r="L10" s="478">
        <f>transport!L54</f>
        <v>0</v>
      </c>
      <c r="M10" s="478">
        <f>transport!M54</f>
        <v>126.07219065737526</v>
      </c>
      <c r="N10" s="478">
        <f>transport!N54</f>
        <v>0</v>
      </c>
      <c r="O10" s="478">
        <f>transport!O54</f>
        <v>0</v>
      </c>
      <c r="P10" s="479">
        <f>transport!P54</f>
        <v>0</v>
      </c>
      <c r="Q10" s="477">
        <f t="shared" si="0"/>
        <v>2345.8255344613613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80860.878366433171</v>
      </c>
      <c r="C14" s="488">
        <f t="shared" ref="C14:Q14" ca="1" si="1">SUM(C4:C13)</f>
        <v>0</v>
      </c>
      <c r="D14" s="488">
        <f t="shared" ca="1" si="1"/>
        <v>117477.7393650547</v>
      </c>
      <c r="E14" s="488">
        <f t="shared" si="1"/>
        <v>9595.2310688118432</v>
      </c>
      <c r="F14" s="488">
        <f t="shared" ca="1" si="1"/>
        <v>84720.536411455556</v>
      </c>
      <c r="G14" s="488">
        <f t="shared" si="1"/>
        <v>75736.006603683825</v>
      </c>
      <c r="H14" s="488">
        <f t="shared" si="1"/>
        <v>19377.395082470633</v>
      </c>
      <c r="I14" s="488">
        <f t="shared" si="1"/>
        <v>0</v>
      </c>
      <c r="J14" s="488">
        <f t="shared" si="1"/>
        <v>324.74659049684732</v>
      </c>
      <c r="K14" s="488">
        <f t="shared" si="1"/>
        <v>0</v>
      </c>
      <c r="L14" s="488">
        <f t="shared" ca="1" si="1"/>
        <v>0</v>
      </c>
      <c r="M14" s="488">
        <f t="shared" si="1"/>
        <v>4996.3843251598591</v>
      </c>
      <c r="N14" s="488">
        <f t="shared" ca="1" si="1"/>
        <v>30632.178532858779</v>
      </c>
      <c r="O14" s="488">
        <f t="shared" si="1"/>
        <v>547.16666666666674</v>
      </c>
      <c r="P14" s="489">
        <f t="shared" si="1"/>
        <v>934.26666666666665</v>
      </c>
      <c r="Q14" s="489">
        <f t="shared" ca="1" si="1"/>
        <v>425202.52967975853</v>
      </c>
    </row>
    <row r="16" spans="1:17">
      <c r="A16" s="491" t="s">
        <v>556</v>
      </c>
      <c r="B16" s="841">
        <f ca="1">huishoudens!B10</f>
        <v>0.16049932787816043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6971.2424451318511</v>
      </c>
      <c r="C21" s="478">
        <f t="shared" ref="C21:C30" ca="1" si="3">C4*$C$16</f>
        <v>0</v>
      </c>
      <c r="D21" s="478">
        <f t="shared" ref="D21:D30" si="4">D4*$D$16</f>
        <v>16847.556731612203</v>
      </c>
      <c r="E21" s="478">
        <f t="shared" ref="E21:E30" si="5">E4*$E$16</f>
        <v>1857.5330698475443</v>
      </c>
      <c r="F21" s="478">
        <f t="shared" ref="F21:F30" si="6">F4*$F$16</f>
        <v>18136.849510070322</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43813.181756661921</v>
      </c>
    </row>
    <row r="22" spans="1:17">
      <c r="A22" s="477" t="s">
        <v>156</v>
      </c>
      <c r="B22" s="478">
        <f t="shared" ca="1" si="2"/>
        <v>4296.3553809095811</v>
      </c>
      <c r="C22" s="478">
        <f t="shared" ca="1" si="3"/>
        <v>0</v>
      </c>
      <c r="D22" s="478">
        <f t="shared" ca="1" si="4"/>
        <v>5676.1102739836006</v>
      </c>
      <c r="E22" s="478">
        <f t="shared" si="5"/>
        <v>86.724070560130983</v>
      </c>
      <c r="F22" s="478">
        <f t="shared" ca="1" si="6"/>
        <v>1276.2621679019035</v>
      </c>
      <c r="G22" s="478">
        <f t="shared" si="7"/>
        <v>0</v>
      </c>
      <c r="H22" s="478">
        <f t="shared" si="8"/>
        <v>0</v>
      </c>
      <c r="I22" s="478">
        <f t="shared" si="9"/>
        <v>0</v>
      </c>
      <c r="J22" s="478">
        <f t="shared" si="10"/>
        <v>3.1399004829948729E-2</v>
      </c>
      <c r="K22" s="478">
        <f t="shared" si="11"/>
        <v>0</v>
      </c>
      <c r="L22" s="478">
        <f t="shared" ca="1" si="12"/>
        <v>0</v>
      </c>
      <c r="M22" s="478">
        <f t="shared" si="13"/>
        <v>0</v>
      </c>
      <c r="N22" s="478">
        <f t="shared" ca="1" si="14"/>
        <v>0</v>
      </c>
      <c r="O22" s="478">
        <f t="shared" si="15"/>
        <v>0</v>
      </c>
      <c r="P22" s="479">
        <f t="shared" si="16"/>
        <v>0</v>
      </c>
      <c r="Q22" s="477">
        <f t="shared" ref="Q22:Q30" ca="1" si="17">SUM(B22:P22)</f>
        <v>11335.483292360046</v>
      </c>
    </row>
    <row r="23" spans="1:17">
      <c r="A23" s="477" t="s">
        <v>194</v>
      </c>
      <c r="B23" s="478">
        <f t="shared" ca="1" si="2"/>
        <v>228.47207722918441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228.47207722918441</v>
      </c>
    </row>
    <row r="24" spans="1:17">
      <c r="A24" s="477" t="s">
        <v>112</v>
      </c>
      <c r="B24" s="478">
        <f t="shared" ca="1" si="2"/>
        <v>355.40489667356212</v>
      </c>
      <c r="C24" s="478">
        <f t="shared" ca="1" si="3"/>
        <v>0</v>
      </c>
      <c r="D24" s="478">
        <f t="shared" si="4"/>
        <v>282.68476869600005</v>
      </c>
      <c r="E24" s="478">
        <f t="shared" si="5"/>
        <v>14.77477119302489</v>
      </c>
      <c r="F24" s="478">
        <f t="shared" si="6"/>
        <v>2463.0605183807843</v>
      </c>
      <c r="G24" s="478">
        <f t="shared" si="7"/>
        <v>0</v>
      </c>
      <c r="H24" s="478">
        <f t="shared" si="8"/>
        <v>0</v>
      </c>
      <c r="I24" s="478">
        <f t="shared" si="9"/>
        <v>0</v>
      </c>
      <c r="J24" s="478">
        <f t="shared" si="10"/>
        <v>113.56838923640571</v>
      </c>
      <c r="K24" s="478">
        <f t="shared" si="11"/>
        <v>0</v>
      </c>
      <c r="L24" s="478">
        <f t="shared" si="12"/>
        <v>0</v>
      </c>
      <c r="M24" s="478">
        <f t="shared" si="13"/>
        <v>0</v>
      </c>
      <c r="N24" s="478">
        <f t="shared" si="14"/>
        <v>0</v>
      </c>
      <c r="O24" s="478">
        <f t="shared" si="15"/>
        <v>0</v>
      </c>
      <c r="P24" s="479">
        <f t="shared" si="16"/>
        <v>0</v>
      </c>
      <c r="Q24" s="477">
        <f t="shared" ca="1" si="17"/>
        <v>3229.4933441797775</v>
      </c>
    </row>
    <row r="25" spans="1:17">
      <c r="A25" s="477" t="s">
        <v>635</v>
      </c>
      <c r="B25" s="478">
        <f t="shared" ca="1" si="2"/>
        <v>1118.7388574406216</v>
      </c>
      <c r="C25" s="478">
        <f t="shared" ca="1" si="3"/>
        <v>0</v>
      </c>
      <c r="D25" s="478">
        <f t="shared" si="4"/>
        <v>889.42394293280017</v>
      </c>
      <c r="E25" s="478">
        <f t="shared" si="5"/>
        <v>167.03961281849388</v>
      </c>
      <c r="F25" s="478">
        <f t="shared" si="6"/>
        <v>744.21102550562523</v>
      </c>
      <c r="G25" s="478">
        <f t="shared" si="7"/>
        <v>0</v>
      </c>
      <c r="H25" s="478">
        <f t="shared" si="8"/>
        <v>0</v>
      </c>
      <c r="I25" s="478">
        <f t="shared" si="9"/>
        <v>0</v>
      </c>
      <c r="J25" s="478">
        <f t="shared" si="10"/>
        <v>1.3605047946483046</v>
      </c>
      <c r="K25" s="478">
        <f t="shared" si="11"/>
        <v>0</v>
      </c>
      <c r="L25" s="478">
        <f t="shared" si="12"/>
        <v>0</v>
      </c>
      <c r="M25" s="478">
        <f t="shared" si="13"/>
        <v>0</v>
      </c>
      <c r="N25" s="478">
        <f t="shared" si="14"/>
        <v>0</v>
      </c>
      <c r="O25" s="478">
        <f t="shared" si="15"/>
        <v>0</v>
      </c>
      <c r="P25" s="479">
        <f t="shared" si="16"/>
        <v>0</v>
      </c>
      <c r="Q25" s="477">
        <f t="shared" ca="1" si="17"/>
        <v>2920.7739434921896</v>
      </c>
    </row>
    <row r="26" spans="1:17" s="483" customFormat="1">
      <c r="A26" s="481" t="s">
        <v>561</v>
      </c>
      <c r="B26" s="835">
        <f t="shared" ca="1" si="2"/>
        <v>7.9029720654087754</v>
      </c>
      <c r="C26" s="482">
        <f t="shared" ca="1" si="3"/>
        <v>0</v>
      </c>
      <c r="D26" s="482">
        <f t="shared" si="4"/>
        <v>34.727634516449122</v>
      </c>
      <c r="E26" s="482">
        <f t="shared" si="5"/>
        <v>52.045928201094675</v>
      </c>
      <c r="F26" s="482">
        <f t="shared" si="6"/>
        <v>0</v>
      </c>
      <c r="G26" s="482">
        <f t="shared" si="7"/>
        <v>19628.83962038792</v>
      </c>
      <c r="H26" s="482">
        <f t="shared" si="8"/>
        <v>4824.9713755351877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24548.487530706061</v>
      </c>
    </row>
    <row r="27" spans="1:17">
      <c r="A27" s="477" t="s">
        <v>551</v>
      </c>
      <c r="B27" s="478">
        <f t="shared" ca="1" si="2"/>
        <v>0</v>
      </c>
      <c r="C27" s="478">
        <f t="shared" ca="1" si="3"/>
        <v>0</v>
      </c>
      <c r="D27" s="478">
        <f t="shared" si="4"/>
        <v>0</v>
      </c>
      <c r="E27" s="478">
        <f t="shared" si="5"/>
        <v>0</v>
      </c>
      <c r="F27" s="478">
        <f t="shared" si="6"/>
        <v>0</v>
      </c>
      <c r="G27" s="478">
        <f t="shared" si="7"/>
        <v>592.67414279566424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592.67414279566424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12978.116629450209</v>
      </c>
      <c r="C31" s="488">
        <f t="shared" ca="1" si="18"/>
        <v>0</v>
      </c>
      <c r="D31" s="488">
        <f t="shared" ca="1" si="18"/>
        <v>23730.503351741052</v>
      </c>
      <c r="E31" s="488">
        <f t="shared" si="18"/>
        <v>2178.117452620289</v>
      </c>
      <c r="F31" s="488">
        <f t="shared" ca="1" si="18"/>
        <v>22620.383221858636</v>
      </c>
      <c r="G31" s="488">
        <f t="shared" si="18"/>
        <v>20221.513763183586</v>
      </c>
      <c r="H31" s="488">
        <f t="shared" si="18"/>
        <v>4824.9713755351877</v>
      </c>
      <c r="I31" s="488">
        <f t="shared" si="18"/>
        <v>0</v>
      </c>
      <c r="J31" s="488">
        <f t="shared" si="18"/>
        <v>114.96029303588396</v>
      </c>
      <c r="K31" s="488">
        <f t="shared" si="18"/>
        <v>0</v>
      </c>
      <c r="L31" s="488">
        <f t="shared" ca="1" si="18"/>
        <v>0</v>
      </c>
      <c r="M31" s="488">
        <f t="shared" si="18"/>
        <v>0</v>
      </c>
      <c r="N31" s="488">
        <f t="shared" ca="1" si="18"/>
        <v>0</v>
      </c>
      <c r="O31" s="488">
        <f t="shared" si="18"/>
        <v>0</v>
      </c>
      <c r="P31" s="489">
        <f t="shared" si="18"/>
        <v>0</v>
      </c>
      <c r="Q31" s="489">
        <f t="shared" ca="1" si="18"/>
        <v>86668.566087424842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0.16049932787816043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0.16049932787816043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0.16049932787816043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2018-09-06T12:49:18Z</dcterms:modified>
</cp:coreProperties>
</file>