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4" i="48"/>
  <c r="C29"/>
  <c r="C21"/>
  <c r="C26"/>
  <c r="F25"/>
  <c r="F31" s="1"/>
  <c r="F14"/>
  <c r="C23" l="1"/>
  <c r="C22"/>
  <c r="C31" s="1"/>
  <c r="R13" i="14"/>
  <c r="R15" s="1"/>
  <c r="R23" s="1"/>
  <c r="C27" i="48"/>
  <c r="C2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<sst xmlns="http://schemas.openxmlformats.org/spreadsheetml/2006/main" count="1966" uniqueCount="831">
  <si>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</si>
  <si>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</si>
  <si>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</si>
  <si>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</si>
  <si>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</si>
  <si>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</si>
  <si>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</si>
  <si>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</si>
  <si>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</si>
  <si>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</si>
  <si>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</si>
  <si>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</si>
  <si>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</si>
  <si>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</si>
  <si>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</si>
  <si>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</si>
  <si>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</si>
  <si>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</si>
  <si>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</si>
  <si>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</si>
  <si>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</si>
  <si>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</si>
  <si>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</si>
  <si>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</si>
  <si>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</si>
  <si>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</si>
  <si>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</si>
  <si>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</si>
  <si>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</si>
  <si>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</si>
  <si>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</si>
  <si>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</si>
  <si>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</si>
  <si>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</si>
  <si>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</si>
  <si>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</si>
  <si>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</si>
  <si>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</si>
  <si>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</si>
  <si>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</si>
  <si>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</si>
  <si>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</si>
  <si>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</si>
  <si>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</si>
  <si>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</si>
  <si>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</si>
  <si>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</si>
  <si>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</si>
  <si>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</si>
  <si>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</si>
  <si>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</si>
  <si>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</si>
  <si>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</si>
  <si>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</si>
  <si>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</si>
  <si>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</si>
  <si>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</si>
  <si>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</si>
  <si>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</si>
  <si>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</si>
  <si>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</si>
  <si>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</si>
  <si>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</si>
  <si>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</si>
  <si>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</si>
  <si>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</si>
  <si>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</si>
  <si>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</si>
  <si>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</si>
  <si>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</si>
  <si>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</si>
  <si>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</si>
  <si>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</si>
  <si>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</si>
  <si>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</si>
  <si>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</si>
  <si>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</si>
  <si>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</si>
  <si>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</si>
  <si>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</si>
  <si>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</si>
  <si>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</si>
  <si>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</si>
  <si>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</si>
  <si>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</si>
  <si>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</si>
  <si>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</si>
  <si>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</si>
  <si>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</si>
  <si>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</si>
  <si>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</si>
  <si>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</si>
  <si>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</si>
  <si>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</si>
  <si>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</si>
  <si>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</si>
  <si>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</si>
  <si>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</si>
  <si>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</si>
  <si>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</si>
  <si>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</si>
  <si>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</si>
  <si>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</si>
  <si>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</si>
  <si>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</si>
  <si>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</si>
  <si>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</si>
  <si>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</si>
  <si>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</si>
  <si>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</si>
  <si>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</si>
  <si>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</si>
  <si>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</si>
  <si>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</si>
  <si>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</si>
  <si>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</si>
  <si>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</si>
  <si>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</si>
  <si>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</si>
  <si>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</si>
  <si>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</si>
  <si>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</si>
  <si>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</si>
  <si>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</si>
  <si>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</si>
  <si>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</si>
  <si>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</si>
  <si>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</si>
  <si>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</si>
  <si>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</si>
  <si>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</si>
  <si>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</si>
  <si>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</si>
  <si>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</si>
  <si>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</si>
  <si>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</si>
  <si>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</si>
  <si>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</si>
  <si>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</si>
  <si>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</si>
  <si>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</si>
  <si>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</si>
  <si>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</si>
  <si>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</si>
  <si>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</si>
  <si>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</si>
  <si>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</si>
  <si>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</si>
  <si>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</si>
  <si>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</si>
  <si>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</si>
  <si>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</si>
  <si>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</si>
  <si>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</si>
  <si>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</si>
  <si>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</si>
  <si>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</si>
  <si>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</si>
  <si>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</si>
  <si>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</si>
  <si>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</si>
  <si>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</si>
  <si>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</si>
  <si>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</si>
  <si>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</si>
  <si>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</si>
  <si>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</si>
  <si>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</si>
  <si>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</si>
  <si>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</si>
  <si>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</si>
  <si>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</si>
  <si>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</si>
  <si>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</si>
  <si>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</si>
  <si>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</si>
  <si>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</si>
  <si>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</si>
  <si>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</si>
  <si>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</si>
  <si>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</si>
  <si>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</si>
  <si>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</si>
  <si>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</si>
  <si>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</si>
  <si>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</si>
  <si>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</si>
  <si>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</si>
  <si>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</si>
  <si>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</si>
  <si>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</si>
  <si>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</si>
  <si>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</si>
  <si>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</si>
  <si>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</si>
  <si>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</si>
  <si>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</si>
  <si>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</si>
  <si>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</si>
  <si>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</si>
  <si>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</si>
  <si>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</si>
  <si>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</si>
  <si>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</si>
  <si>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</si>
  <si>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</si>
  <si>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</si>
  <si>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</si>
  <si>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</si>
  <si>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</si>
  <si>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</si>
  <si>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</si>
  <si>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</si>
  <si>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</si>
  <si>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</si>
  <si>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</si>
  <si>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</si>
  <si>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</si>
  <si>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</si>
  <si>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</si>
  <si>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</si>
  <si>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</si>
  <si>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</si>
  <si>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</si>
  <si>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</si>
  <si>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</si>
  <si>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</si>
  <si>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</si>
  <si>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</si>
  <si>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</si>
  <si>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</si>
  <si>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</si>
  <si>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</si>
  <si>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</si>
  <si>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</si>
  <si>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</si>
  <si>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</si>
  <si>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</si>
  <si>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</si>
  <si>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</si>
  <si>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</si>
  <si>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</si>
  <si>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</si>
  <si>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</si>
  <si>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</si>
  <si>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</si>
  <si>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</si>
  <si>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</si>
  <si>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</si>
  <si>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</si>
  <si>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</si>
  <si>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</si>
  <si>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</si>
  <si>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</si>
  <si>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</si>
  <si>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</si>
  <si>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</si>
  <si>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</si>
  <si>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</si>
  <si>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</si>
  <si>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</si>
  <si>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</si>
  <si>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</si>
  <si>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</si>
  <si>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</si>
  <si>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</si>
  <si>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</si>
  <si>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</si>
  <si>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</si>
  <si>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</si>
  <si>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</si>
  <si>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</si>
  <si>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</si>
  <si>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</si>
  <si>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</si>
  <si>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</si>
  <si>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</si>
  <si>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</si>
  <si>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</si>
  <si>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</si>
  <si>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</si>
  <si>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</si>
  <si>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</si>
  <si>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</si>
  <si>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</si>
  <si>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</si>
  <si>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</si>
  <si>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</si>
  <si>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</si>
  <si>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</si>
  <si>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</si>
  <si>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</si>
  <si>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</si>
  <si>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</si>
  <si>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</si>
  <si>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</si>
  <si>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</si>
  <si>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</si>
  <si>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</si>
  <si>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</si>
  <si>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</si>
  <si>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</si>
  <si>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</si>
  <si>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</si>
  <si>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</si>
  <si>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</si>
  <si>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</si>
  <si>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</si>
  <si>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</si>
  <si>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</si>
  <si>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</si>
  <si>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</si>
  <si>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</si>
  <si>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</si>
  <si>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</si>
  <si>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</si>
  <si>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</si>
  <si>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</si>
  <si>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</si>
  <si>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</si>
  <si>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</si>
  <si>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</si>
  <si>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</si>
  <si>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</si>
  <si>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</si>
  <si>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</si>
  <si>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</si>
  <si>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</si>
  <si>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</si>
  <si>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</si>
  <si>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</si>
  <si>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</si>
  <si>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</si>
  <si>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</si>
  <si>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</si>
  <si>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</si>
  <si>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</si>
  <si>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</si>
  <si>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</si>
  <si>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</si>
  <si>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</si>
  <si>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</si>
  <si>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</si>
  <si>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</si>
  <si>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</si>
  <si>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</si>
  <si>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</si>
  <si>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</si>
  <si>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</si>
  <si>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</si>
  <si>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</si>
  <si>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</si>
  <si>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</si>
  <si>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</si>
  <si>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</si>
  <si>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</si>
  <si>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</si>
  <si>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</si>
  <si>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</si>
  <si>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</si>
  <si>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</si>
  <si>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</si>
  <si>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</si>
  <si>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</si>
  <si>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</si>
  <si>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</si>
  <si>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</si>
  <si>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</si>
  <si>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</si>
  <si>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</si>
  <si>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</si>
  <si>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</si>
  <si>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</si>
  <si>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</si>
  <si>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</si>
  <si>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</si>
  <si>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</si>
  <si>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</si>
  <si>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</si>
  <si>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</si>
  <si>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</si>
  <si>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</si>
  <si>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</si>
  <si>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</si>
  <si>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</si>
  <si>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</si>
  <si>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</si>
  <si>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</si>
  <si>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</si>
  <si>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</si>
  <si>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</si>
  <si>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</si>
  <si>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</si>
  <si>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</si>
  <si>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</si>
  <si>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</si>
  <si>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</si>
  <si>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</si>
  <si>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</si>
  <si>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</si>
  <si>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</si>
  <si>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</si>
  <si>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</si>
  <si>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</si>
  <si>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</si>
  <si>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</si>
  <si>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</si>
  <si>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</si>
  <si>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</si>
  <si>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</si>
  <si>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</si>
  <si>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</si>
  <si>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</si>
  <si>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</si>
  <si>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</si>
  <si>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</si>
  <si>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</si>
  <si>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</si>
  <si>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</si>
  <si>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</si>
  <si>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</si>
  <si>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</si>
  <si>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</si>
  <si>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</si>
  <si>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</si>
  <si>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</si>
  <si>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</si>
  <si>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</si>
  <si>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</si>
  <si>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</si>
  <si>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</si>
  <si>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</si>
  <si>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</si>
  <si>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</si>
  <si>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</si>
  <si>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</si>
  <si>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</si>
  <si>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</si>
  <si>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</si>
  <si>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</si>
  <si>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</si>
  <si>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</si>
  <si>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</si>
  <si>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</si>
  <si>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</si>
  <si>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</si>
  <si>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</si>
  <si>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</si>
  <si>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</si>
  <si>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</si>
  <si>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</si>
  <si>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</si>
  <si>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</si>
  <si>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</si>
  <si>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</si>
  <si>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</si>
  <si>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</si>
  <si>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</si>
  <si>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</si>
  <si>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</si>
  <si>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</si>
  <si>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</si>
  <si>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</si>
  <si>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</si>
  <si>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</si>
  <si>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</si>
  <si>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</si>
  <si>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</si>
  <si>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</si>
  <si>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</si>
  <si>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</si>
  <si>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</si>
  <si>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</si>
  <si>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</si>
  <si>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</si>
  <si>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</si>
  <si>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</si>
  <si>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</si>
  <si>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</si>
  <si>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</si>
  <si>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</si>
  <si>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</si>
  <si>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</si>
  <si>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</si>
  <si>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</si>
  <si>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</si>
  <si>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</si>
  <si>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</si>
  <si>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</si>
  <si>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</si>
  <si>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</si>
  <si>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</si>
  <si>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</si>
  <si>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</si>
  <si>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</si>
  <si>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</si>
  <si>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</si>
  <si>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</si>
  <si>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</si>
  <si>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</si>
  <si>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</si>
  <si>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</si>
  <si>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</si>
  <si>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</si>
  <si>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</si>
  <si>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</si>
  <si>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</si>
  <si>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</si>
  <si>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</si>
  <si>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</si>
  <si>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</si>
  <si>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</si>
  <si>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</si>
  <si>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</si>
  <si>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</si>
  <si>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</si>
  <si>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</si>
  <si>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</si>
  <si>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</si>
  <si>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</si>
  <si>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</si>
  <si>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</si>
  <si>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</si>
  <si>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</si>
  <si>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</si>
  <si>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</si>
  <si>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</si>
  <si>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</si>
  <si>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</si>
  <si>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</si>
  <si>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</si>
  <si>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</si>
  <si>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</si>
  <si>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</si>
  <si>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</si>
  <si>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</si>
  <si>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</si>
  <si>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</si>
  <si>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</si>
  <si>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</si>
  <si>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</si>
  <si>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</si>
  <si>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</si>
  <si>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</si>
  <si>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</si>
  <si>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</si>
  <si>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</si>
  <si>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</si>
  <si>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</si>
  <si>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</si>
  <si>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</si>
  <si>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</si>
  <si>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</si>
  <si>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</si>
  <si>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</si>
  <si>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</si>
  <si>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</si>
  <si>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</si>
  <si>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</si>
  <si>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</si>
  <si>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</si>
  <si>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</si>
  <si>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</si>
  <si>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</si>
  <si>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</si>
  <si>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</si>
  <si>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</si>
  <si>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</si>
  <si>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</si>
  <si>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</si>
  <si>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</si>
  <si>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</si>
  <si>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</si>
  <si>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</si>
  <si>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</si>
  <si>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</si>
  <si>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</si>
  <si>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</si>
  <si>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</si>
  <si>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</si>
  <si>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</si>
  <si>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</si>
  <si>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</si>
  <si>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</si>
  <si>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</si>
  <si>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</si>
  <si>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</si>
  <si>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</si>
  <si>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</si>
  <si>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</si>
  <si>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</si>
  <si>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</si>
  <si>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</si>
  <si>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</si>
  <si>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</si>
  <si>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</si>
  <si>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</si>
  <si>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</si>
  <si>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</si>
  <si>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</si>
  <si>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</si>
  <si>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</si>
  <si>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</si>
  <si>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</si>
  <si>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</si>
  <si>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</si>
  <si>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</si>
  <si>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</si>
  <si>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</si>
  <si>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</si>
  <si>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</si>
  <si>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</si>
  <si>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</si>
  <si>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</si>
  <si>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</si>
  <si>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</si>
  <si>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</si>
  <si>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</si>
  <si>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</si>
  <si>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</si>
  <si>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</si>
  <si>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</si>
  <si>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</si>
  <si>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</si>
  <si>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</si>
  <si>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</si>
  <si>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</si>
  <si>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</si>
  <si>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</si>
  <si>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</si>
  <si>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</si>
  <si>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</si>
  <si>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</si>
  <si>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</si>
  <si>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</si>
  <si>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</si>
  <si>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</si>
  <si>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</si>
  <si>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</si>
  <si>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</si>
  <si>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</si>
  <si>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</si>
  <si>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</si>
  <si>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</si>
  <si>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</si>
  <si>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</si>
  <si>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</si>
  <si>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</si>
  <si>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</si>
  <si>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</si>
  <si>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</si>
  <si>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</si>
  <si>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</si>
  <si>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</si>
  <si>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</si>
  <si>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</si>
  <si>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</si>
  <si>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</si>
  <si>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</si>
  <si>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</si>
  <si>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</si>
  <si>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</si>
  <si>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</si>
  <si>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</si>
  <si>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</si>
  <si>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</si>
  <si>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</si>
  <si>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</si>
  <si>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</si>
  <si>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</si>
  <si>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</si>
  <si>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</si>
  <si>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</si>
  <si>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</si>
  <si>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</si>
  <si>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</si>
  <si>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</si>
  <si>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</si>
  <si>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</si>
  <si>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</si>
  <si>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</si>
  <si>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</si>
  <si>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</si>
  <si>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</si>
  <si>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</si>
  <si>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</si>
  <si>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</si>
  <si>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</si>
  <si>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</si>
  <si>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</si>
  <si>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</si>
  <si>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</si>
  <si>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</si>
  <si>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</si>
  <si>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</si>
  <si>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</si>
  <si>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</si>
  <si>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</si>
  <si>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</si>
  <si>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</si>
  <si>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</si>
  <si>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</si>
  <si>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</si>
  <si>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</si>
  <si>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</si>
  <si>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</si>
  <si>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</si>
  <si>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</si>
  <si>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</si>
  <si>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</si>
  <si>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</si>
  <si>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</si>
  <si>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</si>
  <si>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</si>
  <si>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</si>
  <si>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</si>
  <si>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</si>
  <si>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</si>
  <si>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</si>
  <si>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</si>
  <si>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</si>
  <si>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</si>
  <si>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</si>
  <si>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</si>
  <si>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</si>
  <si>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</si>
  <si>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</si>
  <si>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</si>
  <si>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</si>
  <si>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</si>
  <si>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</si>
  <si>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</si>
  <si>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</si>
  <si>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</si>
  <si>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</si>
  <si>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</si>
  <si>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</si>
  <si>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</si>
  <si>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</si>
  <si>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</si>
  <si>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</si>
  <si>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</si>
  <si>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</si>
  <si>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</si>
  <si>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</si>
  <si>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</si>
  <si>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</si>
  <si>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</si>
  <si>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</si>
  <si>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</si>
  <si>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</si>
  <si>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</si>
  <si>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</si>
  <si>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</si>
  <si>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</si>
  <si>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</si>
  <si>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</si>
  <si>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</si>
  <si>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</si>
  <si>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</si>
  <si>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</si>
  <si>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</si>
  <si>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</si>
  <si>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</si>
  <si>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</si>
  <si>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</si>
  <si>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</si>
  <si>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</si>
  <si>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</si>
  <si>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</si>
  <si>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</si>
  <si>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</si>
  <si>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</si>
  <si>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</si>
  <si>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</si>
  <si>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</si>
  <si>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</si>
  <si>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</si>
  <si>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</si>
  <si>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</si>
  <si>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</si>
  <si>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</si>
  <si>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</si>
  <si>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</si>
  <si>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</si>
  <si>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</si>
  <si>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</si>
  <si>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</si>
  <si>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</si>
  <si>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</si>
  <si>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</si>
  <si>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</si>
  <si>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</si>
  <si>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</si>
  <si>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</si>
  <si>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</si>
  <si>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</si>
  <si>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</si>
  <si>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</si>
  <si>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</si>
  <si>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</si>
  <si>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72004</t>
  </si>
  <si>
    <t>BREE</t>
  </si>
  <si>
    <t>Eandis (januari 2018); Infrax (juni 2018)</t>
  </si>
  <si>
    <t>MOW (september 2017)</t>
  </si>
  <si>
    <t>referentietaak LNE (2017); Jaarverslag De Lijn (2016)</t>
  </si>
  <si>
    <t>VEA (april 2018)</t>
  </si>
  <si>
    <t>VEA (januari 2017)</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</si>
  <si>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</si>
  <si>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</si>
  <si>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</si>
  <si>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</si>
  <si>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</si>
  <si>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</si>
  <si>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</si>
  <si>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</si>
  <si>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</si>
  <si>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</si>
  <si>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</si>
  <si>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</si>
  <si>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</si>
  <si>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</si>
  <si>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</si>
  <si>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</si>
  <si>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</si>
  <si>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</si>
  <si>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</si>
  <si>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</si>
  <si>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</si>
  <si>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</si>
  <si>
    <t>WKK-0746 Biogas Bree II</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</si>
</sst>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130532.83184844279</c:v>
                </c:pt>
                <c:pt idx="1">
                  <c:v>55035.503997306005</c:v>
                </c:pt>
                <c:pt idx="2">
                  <c:v>1192.7639999999999</c:v>
                </c:pt>
                <c:pt idx="3">
                  <c:v>50624.462069644556</c:v>
                </c:pt>
                <c:pt idx="4">
                  <c:v>154968.85289718769</c:v>
                </c:pt>
                <c:pt idx="5">
                  <c:v>97952.135300165028</c:v>
                </c:pt>
                <c:pt idx="6">
                  <c:v>2133.2133171331102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4272"/>
        <c:axId val="156456064"/>
      </c:barChart>
      <c:catAx>
        <c:axId val="156454272"/>
        <c:scaling>
          <c:orientation val="minMax"/>
        </c:scaling>
        <c:axPos val="b"/>
        <c:numFmt formatCode="General" sourceLinked="0"/>
        <c:tickLblPos val="nextTo"/>
        <c:crossAx val="156456064"/>
        <c:crosses val="autoZero"/>
        <c:auto val="1"/>
        <c:lblAlgn val="ctr"/>
        <c:lblOffset val="100"/>
      </c:catAx>
      <c:valAx>
        <c:axId val="156456064"/>
        <c:scaling>
          <c:orientation val="minMax"/>
        </c:scaling>
        <c:axPos val="l"/>
        <c:majorGridlines/>
        <c:numFmt formatCode="#,##0" sourceLinked="1"/>
        <c:tickLblPos val="nextTo"/>
        <c:crossAx val="156454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130532.83184844279</c:v>
                </c:pt>
                <c:pt idx="1">
                  <c:v>55035.503997306005</c:v>
                </c:pt>
                <c:pt idx="2">
                  <c:v>1192.7639999999999</c:v>
                </c:pt>
                <c:pt idx="3">
                  <c:v>50624.462069644556</c:v>
                </c:pt>
                <c:pt idx="4">
                  <c:v>154968.85289718769</c:v>
                </c:pt>
                <c:pt idx="5">
                  <c:v>97952.135300165028</c:v>
                </c:pt>
                <c:pt idx="6">
                  <c:v>2133.2133171331102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24656.45331851688</c:v>
                </c:pt>
                <c:pt idx="1">
                  <c:v>9515.2323660192087</c:v>
                </c:pt>
                <c:pt idx="2">
                  <c:v>205.03558449825152</c:v>
                </c:pt>
                <c:pt idx="3">
                  <c:v>8570.4126997690746</c:v>
                </c:pt>
                <c:pt idx="4">
                  <c:v>29921.360362859661</c:v>
                </c:pt>
                <c:pt idx="5">
                  <c:v>24508.830289813028</c:v>
                </c:pt>
                <c:pt idx="6">
                  <c:v>538.95754631320654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6448"/>
        <c:axId val="156946432"/>
      </c:barChart>
      <c:catAx>
        <c:axId val="156936448"/>
        <c:scaling>
          <c:orientation val="minMax"/>
        </c:scaling>
        <c:axPos val="b"/>
        <c:numFmt formatCode="General" sourceLinked="0"/>
        <c:tickLblPos val="nextTo"/>
        <c:crossAx val="156946432"/>
        <c:crosses val="autoZero"/>
        <c:auto val="1"/>
        <c:lblAlgn val="ctr"/>
        <c:lblOffset val="100"/>
      </c:catAx>
      <c:valAx>
        <c:axId val="156946432"/>
        <c:scaling>
          <c:orientation val="minMax"/>
        </c:scaling>
        <c:axPos val="l"/>
        <c:majorGridlines/>
        <c:numFmt formatCode="#,##0" sourceLinked="1"/>
        <c:tickLblPos val="nextTo"/>
        <c:crossAx val="15693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24656.45331851688</c:v>
                </c:pt>
                <c:pt idx="1">
                  <c:v>9515.2323660192087</c:v>
                </c:pt>
                <c:pt idx="2">
                  <c:v>205.03558449825152</c:v>
                </c:pt>
                <c:pt idx="3">
                  <c:v>8570.4126997690746</c:v>
                </c:pt>
                <c:pt idx="4">
                  <c:v>29921.360362859661</c:v>
                </c:pt>
                <c:pt idx="5">
                  <c:v>24508.830289813028</c:v>
                </c:pt>
                <c:pt idx="6">
                  <c:v>538.95754631320654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72004</v>
      </c>
      <c r="B6" s="415"/>
      <c r="C6" s="416"/>
    </row>
    <row r="7" spans="1:7" s="413" customFormat="1" ht="15.75" customHeight="1">
      <c r="A7" s="417" t="str">
        <f>txtMunicipality</f>
        <v>BREE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29541.515599999999</v>
      </c>
      <c r="D10" s="718">
        <f ca="1">tertiair!C16</f>
        <v>96.428571428571431</v>
      </c>
      <c r="E10" s="718">
        <f ca="1">tertiair!D16</f>
        <v>15569.132792042858</v>
      </c>
      <c r="F10" s="718">
        <f>tertiair!E16</f>
        <v>376.39995509092108</v>
      </c>
      <c r="G10" s="718">
        <f ca="1">tertiair!F16</f>
        <v>5286.5139019334902</v>
      </c>
      <c r="H10" s="718">
        <f>tertiair!G16</f>
        <v>0</v>
      </c>
      <c r="I10" s="718">
        <f>tertiair!H16</f>
        <v>0</v>
      </c>
      <c r="J10" s="718">
        <f>tertiair!I16</f>
        <v>0</v>
      </c>
      <c r="K10" s="718">
        <f>tertiair!J16</f>
        <v>0.13250780487194119</v>
      </c>
      <c r="L10" s="718">
        <f>tertiair!K16</f>
        <v>0</v>
      </c>
      <c r="M10" s="718">
        <f ca="1">tertiair!L16</f>
        <v>0</v>
      </c>
      <c r="N10" s="718">
        <f>tertiair!M16</f>
        <v>0</v>
      </c>
      <c r="O10" s="718">
        <f ca="1">tertiair!N16</f>
        <v>5237.491335671959</v>
      </c>
      <c r="P10" s="718">
        <f>tertiair!O16</f>
        <v>6.2533333333333339</v>
      </c>
      <c r="Q10" s="719">
        <f>tertiair!P16</f>
        <v>114.4</v>
      </c>
      <c r="R10" s="721">
        <f ca="1">SUM(C10:Q10)</f>
        <v>56228.267997306</v>
      </c>
      <c r="S10" s="67"/>
    </row>
    <row r="11" spans="1:19" s="474" customFormat="1">
      <c r="A11" s="870" t="s">
        <v>225</v>
      </c>
      <c r="B11" s="875"/>
      <c r="C11" s="718">
        <f>huishoudens!B8</f>
        <v>27105.036476775684</v>
      </c>
      <c r="D11" s="718">
        <f>huishoudens!C8</f>
        <v>0</v>
      </c>
      <c r="E11" s="718">
        <f>huishoudens!D8</f>
        <v>42535.935833599993</v>
      </c>
      <c r="F11" s="718">
        <f>huishoudens!E8</f>
        <v>4469.0448916010428</v>
      </c>
      <c r="G11" s="718">
        <f>huishoudens!F8</f>
        <v>38915.272479493389</v>
      </c>
      <c r="H11" s="718">
        <f>huishoudens!G8</f>
        <v>0</v>
      </c>
      <c r="I11" s="718">
        <f>huishoudens!H8</f>
        <v>0</v>
      </c>
      <c r="J11" s="718">
        <f>huishoudens!I8</f>
        <v>0</v>
      </c>
      <c r="K11" s="718">
        <f>huishoudens!J8</f>
        <v>0</v>
      </c>
      <c r="L11" s="718">
        <f>huishoudens!K8</f>
        <v>0</v>
      </c>
      <c r="M11" s="718">
        <f>huishoudens!L8</f>
        <v>0</v>
      </c>
      <c r="N11" s="718">
        <f>huishoudens!M8</f>
        <v>0</v>
      </c>
      <c r="O11" s="718">
        <f>huishoudens!N8</f>
        <v>15991.775500305994</v>
      </c>
      <c r="P11" s="718">
        <f>huishoudens!O8</f>
        <v>390.83333333333337</v>
      </c>
      <c r="Q11" s="719">
        <f>huishoudens!P8</f>
        <v>1124.9333333333334</v>
      </c>
      <c r="R11" s="721">
        <f>SUM(C11:Q11)</f>
        <v>130532.83184844279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35297.344850000001</v>
      </c>
      <c r="D13" s="718">
        <f>industrie!C18</f>
        <v>0</v>
      </c>
      <c r="E13" s="718">
        <f>industrie!D18</f>
        <v>111629.3617846</v>
      </c>
      <c r="F13" s="718">
        <f>industrie!E18</f>
        <v>782.55622480414968</v>
      </c>
      <c r="G13" s="718">
        <f>industrie!F18</f>
        <v>4220.1642536889967</v>
      </c>
      <c r="H13" s="718">
        <f>industrie!G18</f>
        <v>0</v>
      </c>
      <c r="I13" s="718">
        <f>industrie!H18</f>
        <v>0</v>
      </c>
      <c r="J13" s="718">
        <f>industrie!I18</f>
        <v>0</v>
      </c>
      <c r="K13" s="718">
        <f>industrie!J18</f>
        <v>0.586932816003925</v>
      </c>
      <c r="L13" s="718">
        <f>industrie!K18</f>
        <v>0</v>
      </c>
      <c r="M13" s="718">
        <f>industrie!L18</f>
        <v>0</v>
      </c>
      <c r="N13" s="718">
        <f>industrie!M18</f>
        <v>0</v>
      </c>
      <c r="O13" s="718">
        <f>industrie!N18</f>
        <v>3038.8388512785655</v>
      </c>
      <c r="P13" s="718">
        <f>industrie!O18</f>
        <v>0</v>
      </c>
      <c r="Q13" s="719">
        <f>industrie!P18</f>
        <v>0</v>
      </c>
      <c r="R13" s="721">
        <f>SUM(C13:Q13)</f>
        <v>154968.85289718769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91943.896926775691</v>
      </c>
      <c r="D15" s="723">
        <f t="shared" ref="D15:Q15" ca="1" si="0">SUM(D9:D14)</f>
        <v>96.428571428571431</v>
      </c>
      <c r="E15" s="723">
        <f t="shared" ca="1" si="0"/>
        <v>169734.43041024284</v>
      </c>
      <c r="F15" s="723">
        <f t="shared" si="0"/>
        <v>5628.0010714961136</v>
      </c>
      <c r="G15" s="723">
        <f t="shared" ca="1" si="0"/>
        <v>48421.950635115878</v>
      </c>
      <c r="H15" s="723">
        <f t="shared" si="0"/>
        <v>0</v>
      </c>
      <c r="I15" s="723">
        <f t="shared" si="0"/>
        <v>0</v>
      </c>
      <c r="J15" s="723">
        <f t="shared" si="0"/>
        <v>0</v>
      </c>
      <c r="K15" s="723">
        <f t="shared" si="0"/>
        <v>0.71944062087586613</v>
      </c>
      <c r="L15" s="723">
        <f t="shared" si="0"/>
        <v>0</v>
      </c>
      <c r="M15" s="723">
        <f t="shared" ca="1" si="0"/>
        <v>0</v>
      </c>
      <c r="N15" s="723">
        <f t="shared" si="0"/>
        <v>0</v>
      </c>
      <c r="O15" s="723">
        <f t="shared" ca="1" si="0"/>
        <v>24268.105687256517</v>
      </c>
      <c r="P15" s="723">
        <f t="shared" si="0"/>
        <v>397.0866666666667</v>
      </c>
      <c r="Q15" s="724">
        <f t="shared" si="0"/>
        <v>1239.3333333333335</v>
      </c>
      <c r="R15" s="725">
        <f ca="1">SUM(R9:R14)</f>
        <v>341729.9527429365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2018.5675891880394</v>
      </c>
      <c r="I18" s="718">
        <f>transport!H54</f>
        <v>0</v>
      </c>
      <c r="J18" s="718">
        <f>transport!I54</f>
        <v>0</v>
      </c>
      <c r="K18" s="718">
        <f>transport!J54</f>
        <v>0</v>
      </c>
      <c r="L18" s="718">
        <f>transport!K54</f>
        <v>0</v>
      </c>
      <c r="M18" s="718">
        <f>transport!L54</f>
        <v>0</v>
      </c>
      <c r="N18" s="718">
        <f>transport!M54</f>
        <v>114.64572794507073</v>
      </c>
      <c r="O18" s="718">
        <f>transport!N54</f>
        <v>0</v>
      </c>
      <c r="P18" s="718">
        <f>transport!O54</f>
        <v>0</v>
      </c>
      <c r="Q18" s="719">
        <f>transport!P54</f>
        <v>0</v>
      </c>
      <c r="R18" s="721">
        <f>SUM(C18:Q18)</f>
        <v>2133.2133171331102</v>
      </c>
      <c r="S18" s="67"/>
    </row>
    <row r="19" spans="1:19" s="474" customFormat="1" ht="15" thickBot="1">
      <c r="A19" s="870" t="s">
        <v>307</v>
      </c>
      <c r="B19" s="875"/>
      <c r="C19" s="727">
        <f>transport!B14</f>
        <v>44.908239648623535</v>
      </c>
      <c r="D19" s="727">
        <f>transport!C14</f>
        <v>0</v>
      </c>
      <c r="E19" s="727">
        <f>transport!D14</f>
        <v>151.85608888520849</v>
      </c>
      <c r="F19" s="727">
        <f>transport!E14</f>
        <v>203.499417418604</v>
      </c>
      <c r="G19" s="727">
        <f>transport!F14</f>
        <v>0</v>
      </c>
      <c r="H19" s="727">
        <f>transport!G14</f>
        <v>75482.505648483042</v>
      </c>
      <c r="I19" s="727">
        <f>transport!H14</f>
        <v>17150.250113101658</v>
      </c>
      <c r="J19" s="727">
        <f>transport!I14</f>
        <v>0</v>
      </c>
      <c r="K19" s="727">
        <f>transport!J14</f>
        <v>0</v>
      </c>
      <c r="L19" s="727">
        <f>transport!K14</f>
        <v>0</v>
      </c>
      <c r="M19" s="727">
        <f>transport!L14</f>
        <v>0</v>
      </c>
      <c r="N19" s="727">
        <f>transport!M14</f>
        <v>4919.1157926278838</v>
      </c>
      <c r="O19" s="727">
        <f>transport!N14</f>
        <v>0</v>
      </c>
      <c r="P19" s="727">
        <f>transport!O14</f>
        <v>0</v>
      </c>
      <c r="Q19" s="728">
        <f>transport!P14</f>
        <v>0</v>
      </c>
      <c r="R19" s="729">
        <f>SUM(C19:Q19)</f>
        <v>97952.135300165028</v>
      </c>
      <c r="S19" s="67"/>
    </row>
    <row r="20" spans="1:19" s="474" customFormat="1" ht="15.75" thickBot="1">
      <c r="A20" s="730" t="s">
        <v>230</v>
      </c>
      <c r="B20" s="878"/>
      <c r="C20" s="873">
        <f>SUM(C17:C19)</f>
        <v>44.908239648623535</v>
      </c>
      <c r="D20" s="731">
        <f t="shared" ref="D20:R20" si="1">SUM(D17:D19)</f>
        <v>0</v>
      </c>
      <c r="E20" s="731">
        <f t="shared" si="1"/>
        <v>151.85608888520849</v>
      </c>
      <c r="F20" s="731">
        <f t="shared" si="1"/>
        <v>203.499417418604</v>
      </c>
      <c r="G20" s="731">
        <f t="shared" si="1"/>
        <v>0</v>
      </c>
      <c r="H20" s="731">
        <f t="shared" si="1"/>
        <v>77501.07323767108</v>
      </c>
      <c r="I20" s="731">
        <f t="shared" si="1"/>
        <v>17150.250113101658</v>
      </c>
      <c r="J20" s="731">
        <f t="shared" si="1"/>
        <v>0</v>
      </c>
      <c r="K20" s="731">
        <f t="shared" si="1"/>
        <v>0</v>
      </c>
      <c r="L20" s="731">
        <f t="shared" si="1"/>
        <v>0</v>
      </c>
      <c r="M20" s="731">
        <f t="shared" si="1"/>
        <v>0</v>
      </c>
      <c r="N20" s="731">
        <f t="shared" si="1"/>
        <v>5033.7615205729544</v>
      </c>
      <c r="O20" s="731">
        <f t="shared" si="1"/>
        <v>0</v>
      </c>
      <c r="P20" s="731">
        <f t="shared" si="1"/>
        <v>0</v>
      </c>
      <c r="Q20" s="732">
        <f t="shared" si="1"/>
        <v>0</v>
      </c>
      <c r="R20" s="733">
        <f t="shared" si="1"/>
        <v>100085.34861729814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5551.4269999999997</v>
      </c>
      <c r="D22" s="727">
        <f>+landbouw!C8</f>
        <v>15549.428571428572</v>
      </c>
      <c r="E22" s="727">
        <f>+landbouw!D8</f>
        <v>5429.2056499999999</v>
      </c>
      <c r="F22" s="727">
        <f>+landbouw!E8</f>
        <v>163.17339554514666</v>
      </c>
      <c r="G22" s="727">
        <f>+landbouw!F8</f>
        <v>23126.944898630347</v>
      </c>
      <c r="H22" s="727">
        <f>+landbouw!G8</f>
        <v>0</v>
      </c>
      <c r="I22" s="727">
        <f>+landbouw!H8</f>
        <v>0</v>
      </c>
      <c r="J22" s="727">
        <f>+landbouw!I8</f>
        <v>0</v>
      </c>
      <c r="K22" s="727">
        <f>+landbouw!J8</f>
        <v>804.28255404049708</v>
      </c>
      <c r="L22" s="727">
        <f>+landbouw!K8</f>
        <v>0</v>
      </c>
      <c r="M22" s="727">
        <f>+landbouw!L8</f>
        <v>0</v>
      </c>
      <c r="N22" s="727">
        <f>+landbouw!M8</f>
        <v>0</v>
      </c>
      <c r="O22" s="727">
        <f>+landbouw!N8</f>
        <v>0</v>
      </c>
      <c r="P22" s="727">
        <f>+landbouw!O8</f>
        <v>0</v>
      </c>
      <c r="Q22" s="728">
        <f>+landbouw!P8</f>
        <v>0</v>
      </c>
      <c r="R22" s="729">
        <f>SUM(C22:Q22)</f>
        <v>50624.462069644556</v>
      </c>
      <c r="S22" s="67"/>
    </row>
    <row r="23" spans="1:19" s="474" customFormat="1" ht="17.25" thickTop="1" thickBot="1">
      <c r="A23" s="734" t="s">
        <v>116</v>
      </c>
      <c r="B23" s="864"/>
      <c r="C23" s="735">
        <f ca="1">C20+C15+C22</f>
        <v>97540.232166424306</v>
      </c>
      <c r="D23" s="735">
        <f t="shared" ref="D23:Q23" ca="1" si="2">D20+D15+D22</f>
        <v>15645.857142857143</v>
      </c>
      <c r="E23" s="735">
        <f t="shared" ca="1" si="2"/>
        <v>175315.49214912805</v>
      </c>
      <c r="F23" s="735">
        <f t="shared" si="2"/>
        <v>5994.673884459864</v>
      </c>
      <c r="G23" s="735">
        <f t="shared" ca="1" si="2"/>
        <v>71548.895533746225</v>
      </c>
      <c r="H23" s="735">
        <f t="shared" si="2"/>
        <v>77501.07323767108</v>
      </c>
      <c r="I23" s="735">
        <f t="shared" si="2"/>
        <v>17150.250113101658</v>
      </c>
      <c r="J23" s="735">
        <f t="shared" si="2"/>
        <v>0</v>
      </c>
      <c r="K23" s="735">
        <f t="shared" si="2"/>
        <v>805.00199466137292</v>
      </c>
      <c r="L23" s="735">
        <f t="shared" si="2"/>
        <v>0</v>
      </c>
      <c r="M23" s="735">
        <f t="shared" ca="1" si="2"/>
        <v>0</v>
      </c>
      <c r="N23" s="735">
        <f t="shared" si="2"/>
        <v>5033.7615205729544</v>
      </c>
      <c r="O23" s="735">
        <f t="shared" ca="1" si="2"/>
        <v>24268.105687256517</v>
      </c>
      <c r="P23" s="735">
        <f t="shared" si="2"/>
        <v>397.0866666666667</v>
      </c>
      <c r="Q23" s="736">
        <f t="shared" si="2"/>
        <v>1239.3333333333335</v>
      </c>
      <c r="R23" s="737">
        <f ca="1">R20+R15+R22</f>
        <v>492439.76342987915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5078.1729814198079</v>
      </c>
      <c r="D36" s="718">
        <f ca="1">tertiair!C20</f>
        <v>0.14123572018995784</v>
      </c>
      <c r="E36" s="718">
        <f ca="1">tertiair!D20</f>
        <v>3144.9648239926573</v>
      </c>
      <c r="F36" s="718">
        <f>tertiair!E20</f>
        <v>85.442789805639094</v>
      </c>
      <c r="G36" s="718">
        <f ca="1">tertiair!F20</f>
        <v>1411.499211816242</v>
      </c>
      <c r="H36" s="718">
        <f>tertiair!G20</f>
        <v>0</v>
      </c>
      <c r="I36" s="718">
        <f>tertiair!H20</f>
        <v>0</v>
      </c>
      <c r="J36" s="718">
        <f>tertiair!I20</f>
        <v>0</v>
      </c>
      <c r="K36" s="718">
        <f>tertiair!J20</f>
        <v>4.6907762924667182E-2</v>
      </c>
      <c r="L36" s="718">
        <f>tertiair!K20</f>
        <v>0</v>
      </c>
      <c r="M36" s="718">
        <f ca="1">tertiair!L20</f>
        <v>0</v>
      </c>
      <c r="N36" s="718">
        <f>tertiair!M20</f>
        <v>0</v>
      </c>
      <c r="O36" s="718">
        <f ca="1">tertiair!N20</f>
        <v>0</v>
      </c>
      <c r="P36" s="718">
        <f>tertiair!O20</f>
        <v>0</v>
      </c>
      <c r="Q36" s="828">
        <f>tertiair!P20</f>
        <v>0</v>
      </c>
      <c r="R36" s="917">
        <f ca="1">SUM(C36:Q36)</f>
        <v>9720.2679505174601</v>
      </c>
    </row>
    <row r="37" spans="1:18">
      <c r="A37" s="885" t="s">
        <v>225</v>
      </c>
      <c r="B37" s="892"/>
      <c r="C37" s="718">
        <f ca="1">huishoudens!B12</f>
        <v>4659.3433377115098</v>
      </c>
      <c r="D37" s="718">
        <f ca="1">huishoudens!C12</f>
        <v>0</v>
      </c>
      <c r="E37" s="718">
        <f>huishoudens!D12</f>
        <v>8592.2590383871993</v>
      </c>
      <c r="F37" s="718">
        <f>huishoudens!E12</f>
        <v>1014.4731903934368</v>
      </c>
      <c r="G37" s="718">
        <f>huishoudens!F12</f>
        <v>10390.377752024735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24656.45331851688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6067.5973893880928</v>
      </c>
      <c r="D39" s="718">
        <f ca="1">industrie!C22</f>
        <v>0</v>
      </c>
      <c r="E39" s="718">
        <f>industrie!D22</f>
        <v>22549.131080489202</v>
      </c>
      <c r="F39" s="718">
        <f>industrie!E22</f>
        <v>177.64026303054197</v>
      </c>
      <c r="G39" s="718">
        <f>industrie!F22</f>
        <v>1126.7838557349621</v>
      </c>
      <c r="H39" s="718">
        <f>industrie!G22</f>
        <v>0</v>
      </c>
      <c r="I39" s="718">
        <f>industrie!H22</f>
        <v>0</v>
      </c>
      <c r="J39" s="718">
        <f>industrie!I22</f>
        <v>0</v>
      </c>
      <c r="K39" s="718">
        <f>industrie!J22</f>
        <v>0.20777421686538944</v>
      </c>
      <c r="L39" s="718">
        <f>industrie!K22</f>
        <v>0</v>
      </c>
      <c r="M39" s="718">
        <f>industrie!L22</f>
        <v>0</v>
      </c>
      <c r="N39" s="718">
        <f>industrie!M22</f>
        <v>0</v>
      </c>
      <c r="O39" s="718">
        <f>industrie!N22</f>
        <v>0</v>
      </c>
      <c r="P39" s="718">
        <f>industrie!O22</f>
        <v>0</v>
      </c>
      <c r="Q39" s="828">
        <f>industrie!P22</f>
        <v>0</v>
      </c>
      <c r="R39" s="918">
        <f ca="1">SUM(C39:Q39)</f>
        <v>29921.360362859661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15805.113708519411</v>
      </c>
      <c r="D41" s="763">
        <f t="shared" ref="D41:R41" ca="1" si="4">SUM(D35:D40)</f>
        <v>0.14123572018995784</v>
      </c>
      <c r="E41" s="763">
        <f t="shared" ca="1" si="4"/>
        <v>34286.35494286906</v>
      </c>
      <c r="F41" s="763">
        <f t="shared" si="4"/>
        <v>1277.5562432296178</v>
      </c>
      <c r="G41" s="763">
        <f t="shared" ca="1" si="4"/>
        <v>12928.66081957594</v>
      </c>
      <c r="H41" s="763">
        <f t="shared" si="4"/>
        <v>0</v>
      </c>
      <c r="I41" s="763">
        <f t="shared" si="4"/>
        <v>0</v>
      </c>
      <c r="J41" s="763">
        <f t="shared" si="4"/>
        <v>0</v>
      </c>
      <c r="K41" s="763">
        <f t="shared" si="4"/>
        <v>0.25468197979005663</v>
      </c>
      <c r="L41" s="763">
        <f t="shared" si="4"/>
        <v>0</v>
      </c>
      <c r="M41" s="763">
        <f t="shared" ca="1" si="4"/>
        <v>0</v>
      </c>
      <c r="N41" s="763">
        <f t="shared" si="4"/>
        <v>0</v>
      </c>
      <c r="O41" s="763">
        <f t="shared" ca="1" si="4"/>
        <v>0</v>
      </c>
      <c r="P41" s="763">
        <f t="shared" si="4"/>
        <v>0</v>
      </c>
      <c r="Q41" s="764">
        <f t="shared" si="4"/>
        <v>0</v>
      </c>
      <c r="R41" s="765">
        <f t="shared" ca="1" si="4"/>
        <v>64298.081631894005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538.95754631320654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538.95754631320654</v>
      </c>
    </row>
    <row r="45" spans="1:18" ht="15" thickBot="1">
      <c r="A45" s="888" t="s">
        <v>307</v>
      </c>
      <c r="B45" s="898"/>
      <c r="C45" s="727">
        <f ca="1">transport!B18</f>
        <v>7.719705796907923</v>
      </c>
      <c r="D45" s="727">
        <f>transport!C18</f>
        <v>0</v>
      </c>
      <c r="E45" s="727">
        <f>transport!D18</f>
        <v>30.674929954812118</v>
      </c>
      <c r="F45" s="727">
        <f>transport!E18</f>
        <v>46.194367754023112</v>
      </c>
      <c r="G45" s="727">
        <f>transport!F18</f>
        <v>0</v>
      </c>
      <c r="H45" s="727">
        <f>transport!G18</f>
        <v>20153.829008144974</v>
      </c>
      <c r="I45" s="727">
        <f>transport!H18</f>
        <v>4270.4122781623128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24508.830289813028</v>
      </c>
    </row>
    <row r="46" spans="1:18" ht="15.75" thickBot="1">
      <c r="A46" s="886" t="s">
        <v>230</v>
      </c>
      <c r="B46" s="899"/>
      <c r="C46" s="763">
        <f t="shared" ref="C46:R46" ca="1" si="5">SUM(C43:C45)</f>
        <v>7.719705796907923</v>
      </c>
      <c r="D46" s="763">
        <f t="shared" ca="1" si="5"/>
        <v>0</v>
      </c>
      <c r="E46" s="763">
        <f t="shared" si="5"/>
        <v>30.674929954812118</v>
      </c>
      <c r="F46" s="763">
        <f t="shared" si="5"/>
        <v>46.194367754023112</v>
      </c>
      <c r="G46" s="763">
        <f t="shared" si="5"/>
        <v>0</v>
      </c>
      <c r="H46" s="763">
        <f t="shared" si="5"/>
        <v>20692.78655445818</v>
      </c>
      <c r="I46" s="763">
        <f t="shared" si="5"/>
        <v>4270.4122781623128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25047.787836126234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954.28775494932358</v>
      </c>
      <c r="D48" s="718">
        <f ca="1">+landbouw!C12</f>
        <v>22.774730666364672</v>
      </c>
      <c r="E48" s="718">
        <f>+landbouw!D12</f>
        <v>1096.6995413</v>
      </c>
      <c r="F48" s="718">
        <f>+landbouw!E12</f>
        <v>37.040360788748295</v>
      </c>
      <c r="G48" s="718">
        <f>+landbouw!F12</f>
        <v>6174.8942879343031</v>
      </c>
      <c r="H48" s="718">
        <f>+landbouw!G12</f>
        <v>0</v>
      </c>
      <c r="I48" s="718">
        <f>+landbouw!H12</f>
        <v>0</v>
      </c>
      <c r="J48" s="718">
        <f>+landbouw!I12</f>
        <v>0</v>
      </c>
      <c r="K48" s="718">
        <f>+landbouw!J12</f>
        <v>284.71602413033594</v>
      </c>
      <c r="L48" s="718">
        <f>+landbouw!K12</f>
        <v>0</v>
      </c>
      <c r="M48" s="718">
        <f>+landbouw!L12</f>
        <v>0</v>
      </c>
      <c r="N48" s="718">
        <f>+landbouw!M12</f>
        <v>0</v>
      </c>
      <c r="O48" s="718">
        <f>+landbouw!N12</f>
        <v>0</v>
      </c>
      <c r="P48" s="718">
        <f>+landbouw!O12</f>
        <v>0</v>
      </c>
      <c r="Q48" s="719">
        <f>+landbouw!P12</f>
        <v>0</v>
      </c>
      <c r="R48" s="761">
        <f ca="1">SUM(C48:Q48)</f>
        <v>8570.4126997690746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16767.121169265643</v>
      </c>
      <c r="D53" s="773">
        <f t="shared" ref="D53:Q53" ca="1" si="6">D41+D46+D48</f>
        <v>22.915966386554629</v>
      </c>
      <c r="E53" s="773">
        <f t="shared" ca="1" si="6"/>
        <v>35413.729414123867</v>
      </c>
      <c r="F53" s="773">
        <f t="shared" si="6"/>
        <v>1360.7909717723892</v>
      </c>
      <c r="G53" s="773">
        <f t="shared" ca="1" si="6"/>
        <v>19103.555107510241</v>
      </c>
      <c r="H53" s="773">
        <f t="shared" si="6"/>
        <v>20692.78655445818</v>
      </c>
      <c r="I53" s="773">
        <f t="shared" si="6"/>
        <v>4270.4122781623128</v>
      </c>
      <c r="J53" s="773">
        <f t="shared" si="6"/>
        <v>0</v>
      </c>
      <c r="K53" s="773">
        <f t="shared" si="6"/>
        <v>284.970706110126</v>
      </c>
      <c r="L53" s="773">
        <f t="shared" si="6"/>
        <v>0</v>
      </c>
      <c r="M53" s="773">
        <f t="shared" ca="1" si="6"/>
        <v>0</v>
      </c>
      <c r="N53" s="773">
        <f t="shared" si="6"/>
        <v>0</v>
      </c>
      <c r="O53" s="773">
        <f t="shared" ca="1" si="6"/>
        <v>0</v>
      </c>
      <c r="P53" s="773">
        <f>P41+P46+P48</f>
        <v>0</v>
      </c>
      <c r="Q53" s="774">
        <f t="shared" si="6"/>
        <v>0</v>
      </c>
      <c r="R53" s="775">
        <f ca="1">R41+R46+R48</f>
        <v>97916.282167789323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0.17189954131601184</v>
      </c>
      <c r="D55" s="836">
        <f t="shared" ca="1" si="7"/>
        <v>1.4646667278958594E-3</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10791.390117577905</v>
      </c>
      <c r="C66" s="795">
        <f>'lokale energieproductie'!B6</f>
        <v>10791.390117577905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10952.1</v>
      </c>
      <c r="C67" s="794">
        <f>B67*IFERROR(SUM(J67:L67)/SUM(D67:M67),0)</f>
        <v>10884.6</v>
      </c>
      <c r="D67" s="826">
        <f>'lokale energieproductie'!C7</f>
        <v>79.411764705882348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12805.411764705885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16.041176470588237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21743.490117577905</v>
      </c>
      <c r="C69" s="803">
        <f>SUM(C64:C68)</f>
        <v>21675.990117577905</v>
      </c>
      <c r="D69" s="804">
        <f t="shared" ref="D69:M69" si="8">SUM(D67:D68)</f>
        <v>79.411764705882348</v>
      </c>
      <c r="E69" s="804">
        <f t="shared" si="8"/>
        <v>0</v>
      </c>
      <c r="F69" s="804">
        <f t="shared" si="8"/>
        <v>0</v>
      </c>
      <c r="G69" s="804">
        <f t="shared" si="8"/>
        <v>0</v>
      </c>
      <c r="H69" s="804">
        <f t="shared" si="8"/>
        <v>0</v>
      </c>
      <c r="I69" s="804">
        <f t="shared" si="8"/>
        <v>0</v>
      </c>
      <c r="J69" s="804">
        <f t="shared" si="8"/>
        <v>0</v>
      </c>
      <c r="K69" s="804">
        <f t="shared" si="8"/>
        <v>12805.411764705885</v>
      </c>
      <c r="L69" s="804">
        <f t="shared" si="8"/>
        <v>0</v>
      </c>
      <c r="M69" s="930">
        <f t="shared" si="8"/>
        <v>0</v>
      </c>
      <c r="N69" s="805">
        <v>0</v>
      </c>
      <c r="O69" s="805">
        <f>SUM(O67:O68)</f>
        <v>16.041176470588237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15645.857142857143</v>
      </c>
      <c r="C78" s="817">
        <f>B78*IFERROR(SUM(I78:L78)/SUM(D78:M78),0)</f>
        <v>15549.428571428572</v>
      </c>
      <c r="D78" s="832">
        <f>'lokale energieproductie'!C16</f>
        <v>113.44537815126051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18293.445378151264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22.915966386554626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15645.857142857143</v>
      </c>
      <c r="C81" s="803">
        <f>SUM(C78:C80)</f>
        <v>15549.428571428572</v>
      </c>
      <c r="D81" s="803">
        <f t="shared" ref="D81:P81" si="9">SUM(D78:D80)</f>
        <v>113.44537815126051</v>
      </c>
      <c r="E81" s="803">
        <f t="shared" si="9"/>
        <v>0</v>
      </c>
      <c r="F81" s="803">
        <f t="shared" si="9"/>
        <v>0</v>
      </c>
      <c r="G81" s="803">
        <f t="shared" si="9"/>
        <v>0</v>
      </c>
      <c r="H81" s="803">
        <f t="shared" si="9"/>
        <v>0</v>
      </c>
      <c r="I81" s="803">
        <f t="shared" si="9"/>
        <v>0</v>
      </c>
      <c r="J81" s="803">
        <f t="shared" si="9"/>
        <v>0</v>
      </c>
      <c r="K81" s="803">
        <f t="shared" si="9"/>
        <v>18293.445378151264</v>
      </c>
      <c r="L81" s="803">
        <f t="shared" si="9"/>
        <v>0</v>
      </c>
      <c r="M81" s="803">
        <f t="shared" si="9"/>
        <v>0</v>
      </c>
      <c r="N81" s="803">
        <v>0</v>
      </c>
      <c r="O81" s="803">
        <f>SUM(O78:O80)</f>
        <v>22.915966386554626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27105.036476775684</v>
      </c>
      <c r="C4" s="478">
        <f>huishoudens!C8</f>
        <v>0</v>
      </c>
      <c r="D4" s="478">
        <f>huishoudens!D8</f>
        <v>42535.935833599993</v>
      </c>
      <c r="E4" s="478">
        <f>huishoudens!E8</f>
        <v>4469.0448916010428</v>
      </c>
      <c r="F4" s="478">
        <f>huishoudens!F8</f>
        <v>38915.272479493389</v>
      </c>
      <c r="G4" s="478">
        <f>huishoudens!G8</f>
        <v>0</v>
      </c>
      <c r="H4" s="478">
        <f>huishoudens!H8</f>
        <v>0</v>
      </c>
      <c r="I4" s="478">
        <f>huishoudens!I8</f>
        <v>0</v>
      </c>
      <c r="J4" s="478">
        <f>huishoudens!J8</f>
        <v>0</v>
      </c>
      <c r="K4" s="478">
        <f>huishoudens!K8</f>
        <v>0</v>
      </c>
      <c r="L4" s="478">
        <f>huishoudens!L8</f>
        <v>0</v>
      </c>
      <c r="M4" s="478">
        <f>huishoudens!M8</f>
        <v>0</v>
      </c>
      <c r="N4" s="478">
        <f>huishoudens!N8</f>
        <v>15991.775500305994</v>
      </c>
      <c r="O4" s="478">
        <f>huishoudens!O8</f>
        <v>390.83333333333337</v>
      </c>
      <c r="P4" s="479">
        <f>huishoudens!P8</f>
        <v>1124.9333333333334</v>
      </c>
      <c r="Q4" s="480">
        <f>SUM(B4:P4)</f>
        <v>130532.83184844279</v>
      </c>
    </row>
    <row r="5" spans="1:17">
      <c r="A5" s="477" t="s">
        <v>156</v>
      </c>
      <c r="B5" s="478">
        <f ca="1">tertiair!B16</f>
        <v>28348.7516</v>
      </c>
      <c r="C5" s="478">
        <f ca="1">tertiair!C16</f>
        <v>96.428571428571431</v>
      </c>
      <c r="D5" s="478">
        <f ca="1">tertiair!D16</f>
        <v>15569.132792042858</v>
      </c>
      <c r="E5" s="478">
        <f>tertiair!E16</f>
        <v>376.39995509092108</v>
      </c>
      <c r="F5" s="478">
        <f ca="1">tertiair!F16</f>
        <v>5286.5139019334902</v>
      </c>
      <c r="G5" s="478">
        <f>tertiair!G16</f>
        <v>0</v>
      </c>
      <c r="H5" s="478">
        <f>tertiair!H16</f>
        <v>0</v>
      </c>
      <c r="I5" s="478">
        <f>tertiair!I16</f>
        <v>0</v>
      </c>
      <c r="J5" s="478">
        <f>tertiair!J16</f>
        <v>0.13250780487194119</v>
      </c>
      <c r="K5" s="478">
        <f>tertiair!K16</f>
        <v>0</v>
      </c>
      <c r="L5" s="478">
        <f ca="1">tertiair!L16</f>
        <v>0</v>
      </c>
      <c r="M5" s="478">
        <f>tertiair!M16</f>
        <v>0</v>
      </c>
      <c r="N5" s="478">
        <f ca="1">tertiair!N16</f>
        <v>5237.491335671959</v>
      </c>
      <c r="O5" s="478">
        <f>tertiair!O16</f>
        <v>6.2533333333333339</v>
      </c>
      <c r="P5" s="479">
        <f>tertiair!P16</f>
        <v>114.4</v>
      </c>
      <c r="Q5" s="477">
        <f t="shared" ref="Q5:Q13" ca="1" si="0">SUM(B5:P5)</f>
        <v>55035.503997306005</v>
      </c>
    </row>
    <row r="6" spans="1:17">
      <c r="A6" s="477" t="s">
        <v>194</v>
      </c>
      <c r="B6" s="478">
        <f>'openbare verlichting'!B8</f>
        <v>1192.7639999999999</v>
      </c>
      <c r="C6" s="478"/>
      <c r="D6" s="478"/>
      <c r="E6" s="478"/>
      <c r="F6" s="478"/>
      <c r="G6" s="478"/>
      <c r="H6" s="478"/>
      <c r="I6" s="478"/>
      <c r="J6" s="478"/>
      <c r="K6" s="478"/>
      <c r="L6" s="478"/>
      <c r="M6" s="478"/>
      <c r="N6" s="478"/>
      <c r="O6" s="478"/>
      <c r="P6" s="479"/>
      <c r="Q6" s="477">
        <f t="shared" si="0"/>
        <v>1192.7639999999999</v>
      </c>
    </row>
    <row r="7" spans="1:17">
      <c r="A7" s="477" t="s">
        <v>112</v>
      </c>
      <c r="B7" s="478">
        <f>landbouw!B8</f>
        <v>5551.4269999999997</v>
      </c>
      <c r="C7" s="478">
        <f>landbouw!C8</f>
        <v>15549.428571428572</v>
      </c>
      <c r="D7" s="478">
        <f>landbouw!D8</f>
        <v>5429.2056499999999</v>
      </c>
      <c r="E7" s="478">
        <f>landbouw!E8</f>
        <v>163.17339554514666</v>
      </c>
      <c r="F7" s="478">
        <f>landbouw!F8</f>
        <v>23126.944898630347</v>
      </c>
      <c r="G7" s="478">
        <f>landbouw!G8</f>
        <v>0</v>
      </c>
      <c r="H7" s="478">
        <f>landbouw!H8</f>
        <v>0</v>
      </c>
      <c r="I7" s="478">
        <f>landbouw!I8</f>
        <v>0</v>
      </c>
      <c r="J7" s="478">
        <f>landbouw!J8</f>
        <v>804.28255404049708</v>
      </c>
      <c r="K7" s="478">
        <f>landbouw!K8</f>
        <v>0</v>
      </c>
      <c r="L7" s="478">
        <f>landbouw!L8</f>
        <v>0</v>
      </c>
      <c r="M7" s="478">
        <f>landbouw!M8</f>
        <v>0</v>
      </c>
      <c r="N7" s="478">
        <f>landbouw!N8</f>
        <v>0</v>
      </c>
      <c r="O7" s="478">
        <f>landbouw!O8</f>
        <v>0</v>
      </c>
      <c r="P7" s="479">
        <f>landbouw!P8</f>
        <v>0</v>
      </c>
      <c r="Q7" s="477">
        <f t="shared" si="0"/>
        <v>50624.462069644556</v>
      </c>
    </row>
    <row r="8" spans="1:17">
      <c r="A8" s="477" t="s">
        <v>635</v>
      </c>
      <c r="B8" s="478">
        <f>industrie!B18</f>
        <v>35297.344850000001</v>
      </c>
      <c r="C8" s="478">
        <f>industrie!C18</f>
        <v>0</v>
      </c>
      <c r="D8" s="478">
        <f>industrie!D18</f>
        <v>111629.3617846</v>
      </c>
      <c r="E8" s="478">
        <f>industrie!E18</f>
        <v>782.55622480414968</v>
      </c>
      <c r="F8" s="478">
        <f>industrie!F18</f>
        <v>4220.1642536889967</v>
      </c>
      <c r="G8" s="478">
        <f>industrie!G18</f>
        <v>0</v>
      </c>
      <c r="H8" s="478">
        <f>industrie!H18</f>
        <v>0</v>
      </c>
      <c r="I8" s="478">
        <f>industrie!I18</f>
        <v>0</v>
      </c>
      <c r="J8" s="478">
        <f>industrie!J18</f>
        <v>0.586932816003925</v>
      </c>
      <c r="K8" s="478">
        <f>industrie!K18</f>
        <v>0</v>
      </c>
      <c r="L8" s="478">
        <f>industrie!L18</f>
        <v>0</v>
      </c>
      <c r="M8" s="478">
        <f>industrie!M18</f>
        <v>0</v>
      </c>
      <c r="N8" s="478">
        <f>industrie!N18</f>
        <v>3038.8388512785655</v>
      </c>
      <c r="O8" s="478">
        <f>industrie!O18</f>
        <v>0</v>
      </c>
      <c r="P8" s="479">
        <f>industrie!P18</f>
        <v>0</v>
      </c>
      <c r="Q8" s="477">
        <f t="shared" si="0"/>
        <v>154968.85289718769</v>
      </c>
    </row>
    <row r="9" spans="1:17" s="483" customFormat="1">
      <c r="A9" s="481" t="s">
        <v>561</v>
      </c>
      <c r="B9" s="482">
        <f>transport!B14</f>
        <v>44.908239648623535</v>
      </c>
      <c r="C9" s="482">
        <f>transport!C14</f>
        <v>0</v>
      </c>
      <c r="D9" s="482">
        <f>transport!D14</f>
        <v>151.85608888520849</v>
      </c>
      <c r="E9" s="482">
        <f>transport!E14</f>
        <v>203.499417418604</v>
      </c>
      <c r="F9" s="482">
        <f>transport!F14</f>
        <v>0</v>
      </c>
      <c r="G9" s="482">
        <f>transport!G14</f>
        <v>75482.505648483042</v>
      </c>
      <c r="H9" s="482">
        <f>transport!H14</f>
        <v>17150.250113101658</v>
      </c>
      <c r="I9" s="482">
        <f>transport!I14</f>
        <v>0</v>
      </c>
      <c r="J9" s="482">
        <f>transport!J14</f>
        <v>0</v>
      </c>
      <c r="K9" s="482">
        <f>transport!K14</f>
        <v>0</v>
      </c>
      <c r="L9" s="482">
        <f>transport!L14</f>
        <v>0</v>
      </c>
      <c r="M9" s="482">
        <f>transport!M14</f>
        <v>4919.1157926278838</v>
      </c>
      <c r="N9" s="482">
        <f>transport!N14</f>
        <v>0</v>
      </c>
      <c r="O9" s="482">
        <f>transport!O14</f>
        <v>0</v>
      </c>
      <c r="P9" s="482">
        <f>transport!P14</f>
        <v>0</v>
      </c>
      <c r="Q9" s="481">
        <f>SUM(B9:P9)</f>
        <v>97952.135300165028</v>
      </c>
    </row>
    <row r="10" spans="1:17">
      <c r="A10" s="477" t="s">
        <v>551</v>
      </c>
      <c r="B10" s="478">
        <f>transport!B54</f>
        <v>0</v>
      </c>
      <c r="C10" s="478">
        <f>transport!C54</f>
        <v>0</v>
      </c>
      <c r="D10" s="478">
        <f>transport!D54</f>
        <v>0</v>
      </c>
      <c r="E10" s="478">
        <f>transport!E54</f>
        <v>0</v>
      </c>
      <c r="F10" s="478">
        <f>transport!F54</f>
        <v>0</v>
      </c>
      <c r="G10" s="478">
        <f>transport!G54</f>
        <v>2018.5675891880394</v>
      </c>
      <c r="H10" s="478">
        <f>transport!H54</f>
        <v>0</v>
      </c>
      <c r="I10" s="478">
        <f>transport!I54</f>
        <v>0</v>
      </c>
      <c r="J10" s="478">
        <f>transport!J54</f>
        <v>0</v>
      </c>
      <c r="K10" s="478">
        <f>transport!K54</f>
        <v>0</v>
      </c>
      <c r="L10" s="478">
        <f>transport!L54</f>
        <v>0</v>
      </c>
      <c r="M10" s="478">
        <f>transport!M54</f>
        <v>114.64572794507073</v>
      </c>
      <c r="N10" s="478">
        <f>transport!N54</f>
        <v>0</v>
      </c>
      <c r="O10" s="478">
        <f>transport!O54</f>
        <v>0</v>
      </c>
      <c r="P10" s="479">
        <f>transport!P54</f>
        <v>0</v>
      </c>
      <c r="Q10" s="477">
        <f t="shared" si="0"/>
        <v>2133.2133171331102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97540.232166424306</v>
      </c>
      <c r="C14" s="488">
        <f t="shared" ref="C14:Q14" ca="1" si="1">SUM(C4:C13)</f>
        <v>15645.857142857143</v>
      </c>
      <c r="D14" s="488">
        <f t="shared" ca="1" si="1"/>
        <v>175315.49214912805</v>
      </c>
      <c r="E14" s="488">
        <f t="shared" si="1"/>
        <v>5994.673884459864</v>
      </c>
      <c r="F14" s="488">
        <f t="shared" ca="1" si="1"/>
        <v>71548.895533746225</v>
      </c>
      <c r="G14" s="488">
        <f t="shared" si="1"/>
        <v>77501.07323767108</v>
      </c>
      <c r="H14" s="488">
        <f t="shared" si="1"/>
        <v>17150.250113101658</v>
      </c>
      <c r="I14" s="488">
        <f t="shared" si="1"/>
        <v>0</v>
      </c>
      <c r="J14" s="488">
        <f t="shared" si="1"/>
        <v>805.00199466137292</v>
      </c>
      <c r="K14" s="488">
        <f t="shared" si="1"/>
        <v>0</v>
      </c>
      <c r="L14" s="488">
        <f t="shared" ca="1" si="1"/>
        <v>0</v>
      </c>
      <c r="M14" s="488">
        <f t="shared" si="1"/>
        <v>5033.7615205729544</v>
      </c>
      <c r="N14" s="488">
        <f t="shared" ca="1" si="1"/>
        <v>24268.105687256517</v>
      </c>
      <c r="O14" s="488">
        <f t="shared" si="1"/>
        <v>397.0866666666667</v>
      </c>
      <c r="P14" s="489">
        <f t="shared" si="1"/>
        <v>1239.3333333333335</v>
      </c>
      <c r="Q14" s="489">
        <f t="shared" ca="1" si="1"/>
        <v>492439.76342987921</v>
      </c>
    </row>
    <row r="16" spans="1:17">
      <c r="A16" s="491" t="s">
        <v>556</v>
      </c>
      <c r="B16" s="841">
        <f ca="1">huishoudens!B10</f>
        <v>0.17189954131601184</v>
      </c>
      <c r="C16" s="841">
        <f ca="1">huishoudens!C10</f>
        <v>1.4646667278958591E-3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4659.3433377115098</v>
      </c>
      <c r="C21" s="478">
        <f t="shared" ref="C21:C30" ca="1" si="3">C4*$C$16</f>
        <v>0</v>
      </c>
      <c r="D21" s="478">
        <f t="shared" ref="D21:D30" si="4">D4*$D$16</f>
        <v>8592.2590383871993</v>
      </c>
      <c r="E21" s="478">
        <f t="shared" ref="E21:E30" si="5">E4*$E$16</f>
        <v>1014.4731903934368</v>
      </c>
      <c r="F21" s="478">
        <f t="shared" ref="F21:F30" si="6">F4*$F$16</f>
        <v>10390.377752024735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24656.45331851688</v>
      </c>
    </row>
    <row r="22" spans="1:17">
      <c r="A22" s="477" t="s">
        <v>156</v>
      </c>
      <c r="B22" s="478">
        <f t="shared" ca="1" si="2"/>
        <v>4873.1373969215565</v>
      </c>
      <c r="C22" s="478">
        <f t="shared" ca="1" si="3"/>
        <v>0.14123572018995784</v>
      </c>
      <c r="D22" s="478">
        <f t="shared" ca="1" si="4"/>
        <v>3144.9648239926573</v>
      </c>
      <c r="E22" s="478">
        <f t="shared" si="5"/>
        <v>85.442789805639094</v>
      </c>
      <c r="F22" s="478">
        <f t="shared" ca="1" si="6"/>
        <v>1411.499211816242</v>
      </c>
      <c r="G22" s="478">
        <f t="shared" si="7"/>
        <v>0</v>
      </c>
      <c r="H22" s="478">
        <f t="shared" si="8"/>
        <v>0</v>
      </c>
      <c r="I22" s="478">
        <f t="shared" si="9"/>
        <v>0</v>
      </c>
      <c r="J22" s="478">
        <f t="shared" si="10"/>
        <v>4.6907762924667182E-2</v>
      </c>
      <c r="K22" s="478">
        <f t="shared" si="11"/>
        <v>0</v>
      </c>
      <c r="L22" s="478">
        <f t="shared" ca="1" si="12"/>
        <v>0</v>
      </c>
      <c r="M22" s="478">
        <f t="shared" si="13"/>
        <v>0</v>
      </c>
      <c r="N22" s="478">
        <f t="shared" ca="1" si="14"/>
        <v>0</v>
      </c>
      <c r="O22" s="478">
        <f t="shared" si="15"/>
        <v>0</v>
      </c>
      <c r="P22" s="479">
        <f t="shared" si="16"/>
        <v>0</v>
      </c>
      <c r="Q22" s="477">
        <f t="shared" ref="Q22:Q30" ca="1" si="17">SUM(B22:P22)</f>
        <v>9515.2323660192087</v>
      </c>
    </row>
    <row r="23" spans="1:17">
      <c r="A23" s="477" t="s">
        <v>194</v>
      </c>
      <c r="B23" s="478">
        <f t="shared" ca="1" si="2"/>
        <v>205.03558449825152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205.03558449825152</v>
      </c>
    </row>
    <row r="24" spans="1:17">
      <c r="A24" s="477" t="s">
        <v>112</v>
      </c>
      <c r="B24" s="478">
        <f t="shared" ca="1" si="2"/>
        <v>954.28775494932358</v>
      </c>
      <c r="C24" s="478">
        <f t="shared" ca="1" si="3"/>
        <v>22.774730666364672</v>
      </c>
      <c r="D24" s="478">
        <f t="shared" si="4"/>
        <v>1096.6995413</v>
      </c>
      <c r="E24" s="478">
        <f t="shared" si="5"/>
        <v>37.040360788748295</v>
      </c>
      <c r="F24" s="478">
        <f t="shared" si="6"/>
        <v>6174.8942879343031</v>
      </c>
      <c r="G24" s="478">
        <f t="shared" si="7"/>
        <v>0</v>
      </c>
      <c r="H24" s="478">
        <f t="shared" si="8"/>
        <v>0</v>
      </c>
      <c r="I24" s="478">
        <f t="shared" si="9"/>
        <v>0</v>
      </c>
      <c r="J24" s="478">
        <f t="shared" si="10"/>
        <v>284.71602413033594</v>
      </c>
      <c r="K24" s="478">
        <f t="shared" si="11"/>
        <v>0</v>
      </c>
      <c r="L24" s="478">
        <f t="shared" si="12"/>
        <v>0</v>
      </c>
      <c r="M24" s="478">
        <f t="shared" si="13"/>
        <v>0</v>
      </c>
      <c r="N24" s="478">
        <f t="shared" si="14"/>
        <v>0</v>
      </c>
      <c r="O24" s="478">
        <f t="shared" si="15"/>
        <v>0</v>
      </c>
      <c r="P24" s="479">
        <f t="shared" si="16"/>
        <v>0</v>
      </c>
      <c r="Q24" s="477">
        <f t="shared" ca="1" si="17"/>
        <v>8570.4126997690746</v>
      </c>
    </row>
    <row r="25" spans="1:17">
      <c r="A25" s="477" t="s">
        <v>635</v>
      </c>
      <c r="B25" s="478">
        <f t="shared" ca="1" si="2"/>
        <v>6067.5973893880928</v>
      </c>
      <c r="C25" s="478">
        <f t="shared" ca="1" si="3"/>
        <v>0</v>
      </c>
      <c r="D25" s="478">
        <f t="shared" si="4"/>
        <v>22549.131080489202</v>
      </c>
      <c r="E25" s="478">
        <f t="shared" si="5"/>
        <v>177.64026303054197</v>
      </c>
      <c r="F25" s="478">
        <f t="shared" si="6"/>
        <v>1126.7838557349621</v>
      </c>
      <c r="G25" s="478">
        <f t="shared" si="7"/>
        <v>0</v>
      </c>
      <c r="H25" s="478">
        <f t="shared" si="8"/>
        <v>0</v>
      </c>
      <c r="I25" s="478">
        <f t="shared" si="9"/>
        <v>0</v>
      </c>
      <c r="J25" s="478">
        <f t="shared" si="10"/>
        <v>0.20777421686538944</v>
      </c>
      <c r="K25" s="478">
        <f t="shared" si="11"/>
        <v>0</v>
      </c>
      <c r="L25" s="478">
        <f t="shared" si="12"/>
        <v>0</v>
      </c>
      <c r="M25" s="478">
        <f t="shared" si="13"/>
        <v>0</v>
      </c>
      <c r="N25" s="478">
        <f t="shared" si="14"/>
        <v>0</v>
      </c>
      <c r="O25" s="478">
        <f t="shared" si="15"/>
        <v>0</v>
      </c>
      <c r="P25" s="479">
        <f t="shared" si="16"/>
        <v>0</v>
      </c>
      <c r="Q25" s="477">
        <f t="shared" ca="1" si="17"/>
        <v>29921.360362859661</v>
      </c>
    </row>
    <row r="26" spans="1:17" s="483" customFormat="1">
      <c r="A26" s="481" t="s">
        <v>561</v>
      </c>
      <c r="B26" s="835">
        <f t="shared" ca="1" si="2"/>
        <v>7.719705796907923</v>
      </c>
      <c r="C26" s="482">
        <f t="shared" ca="1" si="3"/>
        <v>0</v>
      </c>
      <c r="D26" s="482">
        <f t="shared" si="4"/>
        <v>30.674929954812118</v>
      </c>
      <c r="E26" s="482">
        <f t="shared" si="5"/>
        <v>46.194367754023112</v>
      </c>
      <c r="F26" s="482">
        <f t="shared" si="6"/>
        <v>0</v>
      </c>
      <c r="G26" s="482">
        <f t="shared" si="7"/>
        <v>20153.829008144974</v>
      </c>
      <c r="H26" s="482">
        <f t="shared" si="8"/>
        <v>4270.4122781623128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24508.830289813028</v>
      </c>
    </row>
    <row r="27" spans="1:17">
      <c r="A27" s="477" t="s">
        <v>551</v>
      </c>
      <c r="B27" s="478">
        <f t="shared" ca="1" si="2"/>
        <v>0</v>
      </c>
      <c r="C27" s="478">
        <f t="shared" ca="1" si="3"/>
        <v>0</v>
      </c>
      <c r="D27" s="478">
        <f t="shared" si="4"/>
        <v>0</v>
      </c>
      <c r="E27" s="478">
        <f t="shared" si="5"/>
        <v>0</v>
      </c>
      <c r="F27" s="478">
        <f t="shared" si="6"/>
        <v>0</v>
      </c>
      <c r="G27" s="478">
        <f t="shared" si="7"/>
        <v>538.95754631320654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538.95754631320654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16767.121169265643</v>
      </c>
      <c r="C31" s="488">
        <f t="shared" ca="1" si="18"/>
        <v>22.915966386554629</v>
      </c>
      <c r="D31" s="488">
        <f t="shared" ca="1" si="18"/>
        <v>35413.729414123867</v>
      </c>
      <c r="E31" s="488">
        <f t="shared" si="18"/>
        <v>1360.7909717723892</v>
      </c>
      <c r="F31" s="488">
        <f t="shared" ca="1" si="18"/>
        <v>19103.555107510241</v>
      </c>
      <c r="G31" s="488">
        <f t="shared" si="18"/>
        <v>20692.78655445818</v>
      </c>
      <c r="H31" s="488">
        <f t="shared" si="18"/>
        <v>4270.4122781623128</v>
      </c>
      <c r="I31" s="488">
        <f t="shared" si="18"/>
        <v>0</v>
      </c>
      <c r="J31" s="488">
        <f t="shared" si="18"/>
        <v>284.970706110126</v>
      </c>
      <c r="K31" s="488">
        <f t="shared" si="18"/>
        <v>0</v>
      </c>
      <c r="L31" s="488">
        <f t="shared" ca="1" si="18"/>
        <v>0</v>
      </c>
      <c r="M31" s="488">
        <f t="shared" si="18"/>
        <v>0</v>
      </c>
      <c r="N31" s="488">
        <f t="shared" ca="1" si="18"/>
        <v>0</v>
      </c>
      <c r="O31" s="488">
        <f t="shared" si="18"/>
        <v>0</v>
      </c>
      <c r="P31" s="489">
        <f t="shared" si="18"/>
        <v>0</v>
      </c>
      <c r="Q31" s="489">
        <f t="shared" ca="1" si="18"/>
        <v>97916.282167789323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0.17189954131601184</v>
      </c>
      <c r="C17" s="528">
        <f ca="1">'EF ele_warmte'!B22</f>
        <v>1.4646667278958591E-3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0.17189954131601184</v>
      </c>
      <c r="C17" s="528">
        <f ca="1">'EF ele_warmte'!B22</f>
        <v>1.4646667278958591E-3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0.17189954131601184</v>
      </c>
      <c r="C29" s="529">
        <f ca="1">'EF ele_warmte'!B22</f>
        <v>1.4646667278958591E-3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6618</v>
      </c>
      <c r="C9" s="342">
        <v>6685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4083.92</v>
      </c>
    </row>
    <row r="15" spans="1:6">
      <c r="A15" s="348" t="s">
        <v>184</v>
      </c>
      <c r="B15" s="334">
        <v>1936</v>
      </c>
    </row>
    <row r="16" spans="1:6">
      <c r="A16" s="348" t="s">
        <v>6</v>
      </c>
      <c r="B16" s="334">
        <v>4280</v>
      </c>
    </row>
    <row r="17" spans="1:6">
      <c r="A17" s="348" t="s">
        <v>7</v>
      </c>
      <c r="B17" s="334">
        <v>245</v>
      </c>
    </row>
    <row r="18" spans="1:6">
      <c r="A18" s="348" t="s">
        <v>8</v>
      </c>
      <c r="B18" s="334">
        <v>2331</v>
      </c>
    </row>
    <row r="19" spans="1:6">
      <c r="A19" s="348" t="s">
        <v>9</v>
      </c>
      <c r="B19" s="334">
        <v>2262</v>
      </c>
    </row>
    <row r="20" spans="1:6">
      <c r="A20" s="348" t="s">
        <v>10</v>
      </c>
      <c r="B20" s="334">
        <v>1067</v>
      </c>
    </row>
    <row r="21" spans="1:6">
      <c r="A21" s="348" t="s">
        <v>11</v>
      </c>
      <c r="B21" s="334">
        <v>9719</v>
      </c>
    </row>
    <row r="22" spans="1:6">
      <c r="A22" s="348" t="s">
        <v>12</v>
      </c>
      <c r="B22" s="334">
        <v>27474</v>
      </c>
    </row>
    <row r="23" spans="1:6">
      <c r="A23" s="348" t="s">
        <v>13</v>
      </c>
      <c r="B23" s="334">
        <v>315</v>
      </c>
    </row>
    <row r="24" spans="1:6">
      <c r="A24" s="348" t="s">
        <v>14</v>
      </c>
      <c r="B24" s="334">
        <v>24</v>
      </c>
    </row>
    <row r="25" spans="1:6">
      <c r="A25" s="348" t="s">
        <v>15</v>
      </c>
      <c r="B25" s="334">
        <v>2895</v>
      </c>
    </row>
    <row r="26" spans="1:6">
      <c r="A26" s="348" t="s">
        <v>16</v>
      </c>
      <c r="B26" s="334">
        <v>229</v>
      </c>
    </row>
    <row r="27" spans="1:6">
      <c r="A27" s="348" t="s">
        <v>17</v>
      </c>
      <c r="B27" s="334">
        <v>3</v>
      </c>
    </row>
    <row r="28" spans="1:6" s="356" customFormat="1">
      <c r="A28" s="355" t="s">
        <v>18</v>
      </c>
      <c r="B28" s="355">
        <v>317597</v>
      </c>
    </row>
    <row r="29" spans="1:6">
      <c r="A29" s="355" t="s">
        <v>744</v>
      </c>
      <c r="B29" s="355">
        <v>307</v>
      </c>
      <c r="C29" s="356"/>
      <c r="D29" s="356"/>
      <c r="E29" s="356"/>
      <c r="F29" s="356"/>
    </row>
    <row r="30" spans="1:6">
      <c r="A30" s="341" t="s">
        <v>745</v>
      </c>
      <c r="B30" s="341">
        <v>84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11</v>
      </c>
      <c r="D36" s="334">
        <v>878069</v>
      </c>
      <c r="E36" s="334">
        <v>109</v>
      </c>
      <c r="F36" s="334">
        <v>635865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3515</v>
      </c>
      <c r="D39" s="334">
        <v>47157356.799999997</v>
      </c>
      <c r="E39" s="334">
        <v>6632</v>
      </c>
      <c r="F39" s="334">
        <v>21322550.800000001</v>
      </c>
    </row>
    <row r="40" spans="1:6">
      <c r="A40" s="348" t="s">
        <v>30</v>
      </c>
      <c r="B40" s="348" t="s">
        <v>29</v>
      </c>
      <c r="C40" s="334">
        <v>0</v>
      </c>
      <c r="D40" s="334">
        <v>0</v>
      </c>
      <c r="E40" s="334">
        <v>0</v>
      </c>
      <c r="F40" s="334">
        <v>0</v>
      </c>
    </row>
    <row r="41" spans="1:6">
      <c r="A41" s="348" t="s">
        <v>32</v>
      </c>
      <c r="B41" s="348" t="s">
        <v>33</v>
      </c>
      <c r="C41" s="334">
        <v>67</v>
      </c>
      <c r="D41" s="334">
        <v>1901241.7</v>
      </c>
      <c r="E41" s="334">
        <v>182</v>
      </c>
      <c r="F41" s="334">
        <v>2233517.8999999994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3229177.6</v>
      </c>
      <c r="E44" s="334">
        <v>35</v>
      </c>
      <c r="F44" s="334">
        <v>7080453.1500000004</v>
      </c>
    </row>
    <row r="45" spans="1:6">
      <c r="A45" s="348" t="s">
        <v>32</v>
      </c>
      <c r="B45" s="348" t="s">
        <v>37</v>
      </c>
      <c r="C45" s="334">
        <v>5</v>
      </c>
      <c r="D45" s="334">
        <v>86333</v>
      </c>
      <c r="E45" s="334">
        <v>14</v>
      </c>
      <c r="F45" s="334">
        <v>345177</v>
      </c>
    </row>
    <row r="46" spans="1:6">
      <c r="A46" s="348" t="s">
        <v>32</v>
      </c>
      <c r="B46" s="348" t="s">
        <v>38</v>
      </c>
      <c r="C46" s="334">
        <v>0</v>
      </c>
      <c r="D46" s="334">
        <v>0</v>
      </c>
      <c r="E46" s="334">
        <v>0</v>
      </c>
      <c r="F46" s="334">
        <v>0</v>
      </c>
    </row>
    <row r="47" spans="1:6">
      <c r="A47" s="348" t="s">
        <v>32</v>
      </c>
      <c r="B47" s="348" t="s">
        <v>39</v>
      </c>
      <c r="C47" s="334">
        <v>9</v>
      </c>
      <c r="D47" s="334">
        <v>204910</v>
      </c>
      <c r="E47" s="334">
        <v>11</v>
      </c>
      <c r="F47" s="334">
        <v>127396</v>
      </c>
    </row>
    <row r="48" spans="1:6">
      <c r="A48" s="348" t="s">
        <v>32</v>
      </c>
      <c r="B48" s="348" t="s">
        <v>29</v>
      </c>
      <c r="C48" s="334">
        <v>0</v>
      </c>
      <c r="D48" s="334">
        <v>0</v>
      </c>
      <c r="E48" s="334">
        <v>0</v>
      </c>
      <c r="F48" s="334">
        <v>0</v>
      </c>
    </row>
    <row r="49" spans="1:6">
      <c r="A49" s="348" t="s">
        <v>32</v>
      </c>
      <c r="B49" s="348" t="s">
        <v>40</v>
      </c>
      <c r="C49" s="334">
        <v>0</v>
      </c>
      <c r="D49" s="334">
        <v>0</v>
      </c>
      <c r="E49" s="334">
        <v>4</v>
      </c>
      <c r="F49" s="334">
        <v>471715</v>
      </c>
    </row>
    <row r="50" spans="1:6">
      <c r="A50" s="348" t="s">
        <v>32</v>
      </c>
      <c r="B50" s="348" t="s">
        <v>41</v>
      </c>
      <c r="C50" s="334">
        <v>10</v>
      </c>
      <c r="D50" s="334">
        <v>118335945</v>
      </c>
      <c r="E50" s="334">
        <v>23</v>
      </c>
      <c r="F50" s="334">
        <v>25039085.800000001</v>
      </c>
    </row>
    <row r="51" spans="1:6">
      <c r="A51" s="348" t="s">
        <v>42</v>
      </c>
      <c r="B51" s="348" t="s">
        <v>43</v>
      </c>
      <c r="C51" s="334">
        <v>11</v>
      </c>
      <c r="D51" s="334">
        <v>6019075</v>
      </c>
      <c r="E51" s="334">
        <v>149</v>
      </c>
      <c r="F51" s="334">
        <v>5551427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1192764</v>
      </c>
    </row>
    <row r="55" spans="1:6">
      <c r="A55" s="348" t="s">
        <v>46</v>
      </c>
      <c r="B55" s="348" t="s">
        <v>29</v>
      </c>
      <c r="C55" s="334">
        <v>0</v>
      </c>
      <c r="D55" s="334">
        <v>0</v>
      </c>
      <c r="E55" s="334">
        <v>0</v>
      </c>
      <c r="F55" s="334">
        <v>0</v>
      </c>
    </row>
    <row r="56" spans="1:6">
      <c r="A56" s="348" t="s">
        <v>48</v>
      </c>
      <c r="B56" s="348" t="s">
        <v>29</v>
      </c>
      <c r="C56" s="334">
        <v>3</v>
      </c>
      <c r="D56" s="334">
        <v>1296141</v>
      </c>
      <c r="E56" s="334">
        <v>13</v>
      </c>
      <c r="F56" s="334">
        <v>25210178</v>
      </c>
    </row>
    <row r="57" spans="1:6">
      <c r="A57" s="348" t="s">
        <v>49</v>
      </c>
      <c r="B57" s="348" t="s">
        <v>50</v>
      </c>
      <c r="C57" s="334">
        <v>35</v>
      </c>
      <c r="D57" s="334">
        <v>1744899</v>
      </c>
      <c r="E57" s="334">
        <v>96</v>
      </c>
      <c r="F57" s="334">
        <v>6104640</v>
      </c>
    </row>
    <row r="58" spans="1:6">
      <c r="A58" s="348" t="s">
        <v>49</v>
      </c>
      <c r="B58" s="348" t="s">
        <v>51</v>
      </c>
      <c r="C58" s="334">
        <v>19</v>
      </c>
      <c r="D58" s="334">
        <v>3251174</v>
      </c>
      <c r="E58" s="334">
        <v>58</v>
      </c>
      <c r="F58" s="334">
        <v>1950587</v>
      </c>
    </row>
    <row r="59" spans="1:6">
      <c r="A59" s="348" t="s">
        <v>49</v>
      </c>
      <c r="B59" s="348" t="s">
        <v>52</v>
      </c>
      <c r="C59" s="334">
        <v>93</v>
      </c>
      <c r="D59" s="334">
        <v>5047259</v>
      </c>
      <c r="E59" s="334">
        <v>237</v>
      </c>
      <c r="F59" s="334">
        <v>9108522.9499999993</v>
      </c>
    </row>
    <row r="60" spans="1:6">
      <c r="A60" s="348" t="s">
        <v>49</v>
      </c>
      <c r="B60" s="348" t="s">
        <v>53</v>
      </c>
      <c r="C60" s="334">
        <v>44</v>
      </c>
      <c r="D60" s="334">
        <v>2315201.7000000002</v>
      </c>
      <c r="E60" s="334">
        <v>68</v>
      </c>
      <c r="F60" s="334">
        <v>1888000</v>
      </c>
    </row>
    <row r="61" spans="1:6">
      <c r="A61" s="348" t="s">
        <v>49</v>
      </c>
      <c r="B61" s="348" t="s">
        <v>54</v>
      </c>
      <c r="C61" s="334">
        <v>129</v>
      </c>
      <c r="D61" s="334">
        <v>3716077.25</v>
      </c>
      <c r="E61" s="334">
        <v>274</v>
      </c>
      <c r="F61" s="334">
        <v>8464183.6500000022</v>
      </c>
    </row>
    <row r="62" spans="1:6">
      <c r="A62" s="348" t="s">
        <v>49</v>
      </c>
      <c r="B62" s="348" t="s">
        <v>55</v>
      </c>
      <c r="C62" s="334">
        <v>12</v>
      </c>
      <c r="D62" s="334">
        <v>1399879</v>
      </c>
      <c r="E62" s="334">
        <v>19</v>
      </c>
      <c r="F62" s="334">
        <v>765318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184250</v>
      </c>
      <c r="E68" s="334">
        <v>10</v>
      </c>
      <c r="F68" s="334">
        <v>162244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95464313</v>
      </c>
      <c r="E73" s="476">
        <v>96599660.373132348</v>
      </c>
    </row>
    <row r="74" spans="1:6">
      <c r="A74" s="348" t="s">
        <v>64</v>
      </c>
      <c r="B74" s="348" t="s">
        <v>657</v>
      </c>
      <c r="C74" s="1213" t="s">
        <v>659</v>
      </c>
      <c r="D74" s="476">
        <v>8657264.448260285</v>
      </c>
      <c r="E74" s="476">
        <v>8769999.2685773913</v>
      </c>
    </row>
    <row r="75" spans="1:6">
      <c r="A75" s="348" t="s">
        <v>65</v>
      </c>
      <c r="B75" s="348" t="s">
        <v>656</v>
      </c>
      <c r="C75" s="1213" t="s">
        <v>660</v>
      </c>
      <c r="D75" s="476">
        <v>18688868</v>
      </c>
      <c r="E75" s="476">
        <v>18964430.4909181</v>
      </c>
    </row>
    <row r="76" spans="1:6">
      <c r="A76" s="348" t="s">
        <v>65</v>
      </c>
      <c r="B76" s="348" t="s">
        <v>657</v>
      </c>
      <c r="C76" s="1213" t="s">
        <v>661</v>
      </c>
      <c r="D76" s="476">
        <v>351160.44826028525</v>
      </c>
      <c r="E76" s="476">
        <v>359769.22435229248</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578563.1034794295</v>
      </c>
      <c r="C83" s="476">
        <v>591609.07988418802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5782.4856767756828</v>
      </c>
    </row>
    <row r="92" spans="1:6">
      <c r="A92" s="341" t="s">
        <v>69</v>
      </c>
      <c r="B92" s="342">
        <v>5008.9044408022219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913</v>
      </c>
    </row>
    <row r="98" spans="1:6">
      <c r="A98" s="348" t="s">
        <v>72</v>
      </c>
      <c r="B98" s="334">
        <v>1</v>
      </c>
    </row>
    <row r="99" spans="1:6">
      <c r="A99" s="348" t="s">
        <v>73</v>
      </c>
      <c r="B99" s="334">
        <v>40</v>
      </c>
    </row>
    <row r="100" spans="1:6">
      <c r="A100" s="348" t="s">
        <v>74</v>
      </c>
      <c r="B100" s="334">
        <v>210</v>
      </c>
    </row>
    <row r="101" spans="1:6">
      <c r="A101" s="348" t="s">
        <v>75</v>
      </c>
      <c r="B101" s="334">
        <v>42</v>
      </c>
    </row>
    <row r="102" spans="1:6">
      <c r="A102" s="348" t="s">
        <v>76</v>
      </c>
      <c r="B102" s="334">
        <v>57</v>
      </c>
    </row>
    <row r="103" spans="1:6">
      <c r="A103" s="348" t="s">
        <v>77</v>
      </c>
      <c r="B103" s="334">
        <v>93</v>
      </c>
    </row>
    <row r="104" spans="1:6">
      <c r="A104" s="348" t="s">
        <v>78</v>
      </c>
      <c r="B104" s="334">
        <v>3845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47</v>
      </c>
    </row>
    <row r="124" spans="1:6">
      <c r="A124" s="341" t="s">
        <v>89</v>
      </c>
      <c r="B124" s="334">
        <v>1</v>
      </c>
      <c r="C124" s="334">
        <v>7</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196</v>
      </c>
    </row>
    <row r="130" spans="1:6">
      <c r="A130" s="348" t="s">
        <v>295</v>
      </c>
      <c r="B130" s="334">
        <v>4</v>
      </c>
    </row>
    <row r="131" spans="1:6">
      <c r="A131" s="348" t="s">
        <v>296</v>
      </c>
      <c r="B131" s="334">
        <v>6</v>
      </c>
    </row>
    <row r="132" spans="1:6">
      <c r="A132" s="341" t="s">
        <v>297</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97540.232166424306</v>
      </c>
      <c r="C3" s="43" t="s">
        <v>170</v>
      </c>
      <c r="D3" s="43"/>
      <c r="E3" s="154"/>
      <c r="F3" s="43"/>
      <c r="G3" s="43"/>
      <c r="H3" s="43"/>
      <c r="I3" s="43"/>
      <c r="J3" s="43"/>
      <c r="K3" s="96"/>
    </row>
    <row r="4" spans="1:11">
      <c r="A4" s="383" t="s">
        <v>171</v>
      </c>
      <c r="B4" s="49">
        <f>IF(ISERROR('SEAP template'!B69),0,'SEAP template'!B69)</f>
        <v>21743.490117577905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16.041176470588237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0.17189954131601184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22.915966386554626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15645.857142857143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1.4646667278958591E-3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1192.7639999999999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1192.7639999999999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0.17189954131601184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205.03558449825152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21322.550800000001</v>
      </c>
      <c r="C5" s="17">
        <f>IF(ISERROR('Eigen informatie GS &amp; warmtenet'!B57),0,'Eigen informatie GS &amp; warmtenet'!B57)</f>
        <v>0</v>
      </c>
      <c r="D5" s="30">
        <f>(SUM(HH_hh_gas_kWh,HH_rest_gas_kWh)/1000)*0.902</f>
        <v>42535.935833599993</v>
      </c>
      <c r="E5" s="17">
        <f>B46*B57</f>
        <v>4469.0448916010428</v>
      </c>
      <c r="F5" s="17">
        <f>B51*B62</f>
        <v>38915.272479493389</v>
      </c>
      <c r="G5" s="18"/>
      <c r="H5" s="17"/>
      <c r="I5" s="17"/>
      <c r="J5" s="17">
        <f>B50*B61+C50*C61</f>
        <v>0</v>
      </c>
      <c r="K5" s="17"/>
      <c r="L5" s="17"/>
      <c r="M5" s="17"/>
      <c r="N5" s="17">
        <f>B48*B59+C48*C59</f>
        <v>15991.775500305994</v>
      </c>
      <c r="O5" s="17">
        <f>B69*B70*B71</f>
        <v>390.83333333333337</v>
      </c>
      <c r="P5" s="17">
        <f>B77*B78*B79/1000-B77*B78*B79/1000/B80</f>
        <v>1124.9333333333334</v>
      </c>
    </row>
    <row r="6" spans="1:16">
      <c r="A6" s="16" t="s">
        <v>621</v>
      </c>
      <c r="B6" s="843">
        <f>kWh_PV_kleiner_dan_10kW</f>
        <v>5782.4856767756828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27105.036476775684</v>
      </c>
      <c r="C8" s="21">
        <f>C5</f>
        <v>0</v>
      </c>
      <c r="D8" s="21">
        <f>D5</f>
        <v>42535.935833599993</v>
      </c>
      <c r="E8" s="21">
        <f>E5</f>
        <v>4469.0448916010428</v>
      </c>
      <c r="F8" s="21">
        <f>F5</f>
        <v>38915.272479493389</v>
      </c>
      <c r="G8" s="21"/>
      <c r="H8" s="21"/>
      <c r="I8" s="21"/>
      <c r="J8" s="21">
        <f>J5</f>
        <v>0</v>
      </c>
      <c r="K8" s="21"/>
      <c r="L8" s="21">
        <f>L5</f>
        <v>0</v>
      </c>
      <c r="M8" s="21">
        <f>M5</f>
        <v>0</v>
      </c>
      <c r="N8" s="21">
        <f>N5</f>
        <v>15991.775500305994</v>
      </c>
      <c r="O8" s="21">
        <f>O5</f>
        <v>390.83333333333337</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0.17189954131601184</v>
      </c>
      <c r="C10" s="25">
        <f ca="1">'EF ele_warmte'!B22</f>
        <v>1.4646667278958591E-3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4659.3433377115098</v>
      </c>
      <c r="C12" s="23">
        <f ca="1">C10*C8</f>
        <v>0</v>
      </c>
      <c r="D12" s="23">
        <f>D8*D10</f>
        <v>8592.2590383871993</v>
      </c>
      <c r="E12" s="23">
        <f>E10*E8</f>
        <v>1014.4731903934368</v>
      </c>
      <c r="F12" s="23">
        <f>F10*F8</f>
        <v>10390.377752024735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913</v>
      </c>
      <c r="C18" s="166" t="s">
        <v>111</v>
      </c>
      <c r="D18" s="228"/>
      <c r="E18" s="15"/>
    </row>
    <row r="19" spans="1:7">
      <c r="A19" s="171" t="s">
        <v>72</v>
      </c>
      <c r="B19" s="37">
        <f>aantalw2001_ander</f>
        <v>1</v>
      </c>
      <c r="C19" s="166" t="s">
        <v>111</v>
      </c>
      <c r="D19" s="229"/>
      <c r="E19" s="15"/>
    </row>
    <row r="20" spans="1:7">
      <c r="A20" s="171" t="s">
        <v>73</v>
      </c>
      <c r="B20" s="37">
        <f>aantalw2001_propaan</f>
        <v>40</v>
      </c>
      <c r="C20" s="167">
        <f>IF(ISERROR(B20/SUM($B$20,$B$21,$B$22)*100),0,B20/SUM($B$20,$B$21,$B$22)*100)</f>
        <v>13.698630136986301</v>
      </c>
      <c r="D20" s="229"/>
      <c r="E20" s="15"/>
    </row>
    <row r="21" spans="1:7">
      <c r="A21" s="171" t="s">
        <v>74</v>
      </c>
      <c r="B21" s="37">
        <f>aantalw2001_elektriciteit</f>
        <v>210</v>
      </c>
      <c r="C21" s="167">
        <f>IF(ISERROR(B21/SUM($B$20,$B$21,$B$22)*100),0,B21/SUM($B$20,$B$21,$B$22)*100)</f>
        <v>71.917808219178085</v>
      </c>
      <c r="D21" s="229"/>
      <c r="E21" s="15"/>
    </row>
    <row r="22" spans="1:7">
      <c r="A22" s="171" t="s">
        <v>75</v>
      </c>
      <c r="B22" s="37">
        <f>aantalw2001_hout</f>
        <v>42</v>
      </c>
      <c r="C22" s="167">
        <f>IF(ISERROR(B22/SUM($B$20,$B$21,$B$22)*100),0,B22/SUM($B$20,$B$21,$B$22)*100)</f>
        <v>14.383561643835616</v>
      </c>
      <c r="D22" s="229"/>
      <c r="E22" s="15"/>
    </row>
    <row r="23" spans="1:7">
      <c r="A23" s="171" t="s">
        <v>76</v>
      </c>
      <c r="B23" s="37">
        <f>aantalw2001_niet_gespec</f>
        <v>57</v>
      </c>
      <c r="C23" s="166" t="s">
        <v>111</v>
      </c>
      <c r="D23" s="228"/>
      <c r="E23" s="15"/>
    </row>
    <row r="24" spans="1:7">
      <c r="A24" s="171" t="s">
        <v>77</v>
      </c>
      <c r="B24" s="37">
        <f>aantalw2001_steenkool</f>
        <v>93</v>
      </c>
      <c r="C24" s="166" t="s">
        <v>111</v>
      </c>
      <c r="D24" s="229"/>
      <c r="E24" s="15"/>
    </row>
    <row r="25" spans="1:7">
      <c r="A25" s="171" t="s">
        <v>78</v>
      </c>
      <c r="B25" s="37">
        <f>aantalw2001_stookolie</f>
        <v>3845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6618</v>
      </c>
      <c r="C28" s="36"/>
      <c r="D28" s="228"/>
    </row>
    <row r="29" spans="1:7" s="15" customFormat="1">
      <c r="A29" s="230" t="s">
        <v>795</v>
      </c>
      <c r="B29" s="37">
        <f>SUM(HH_hh_gas_aantal,HH_rest_gas_aantal)</f>
        <v>3515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3515</v>
      </c>
      <c r="C32" s="167">
        <f>IF(ISERROR(B32/SUM($B$32,$B$34,$B$35,$B$36,$B$38,$B$39)*100),0,B32/SUM($B$32,$B$34,$B$35,$B$36,$B$38,$B$39)*100)</f>
        <v>53.590486354627231</v>
      </c>
      <c r="D32" s="233"/>
      <c r="G32" s="15"/>
    </row>
    <row r="33" spans="1:7">
      <c r="A33" s="171" t="s">
        <v>72</v>
      </c>
      <c r="B33" s="34" t="s">
        <v>111</v>
      </c>
      <c r="C33" s="167"/>
      <c r="D33" s="233"/>
      <c r="G33" s="15"/>
    </row>
    <row r="34" spans="1:7">
      <c r="A34" s="171" t="s">
        <v>73</v>
      </c>
      <c r="B34" s="33">
        <f>IF((($B$28-$B$32-$B$39-$B$77-$B$38)*C20/100)&lt;0,0,($B$28-$B$32-$B$39-$B$77-$B$38)*C20/100)</f>
        <v>211.06849315068496</v>
      </c>
      <c r="C34" s="167">
        <f>IF(ISERROR(B34/SUM($B$32,$B$34,$B$35,$B$36,$B$38,$B$39)*100),0,B34/SUM($B$32,$B$34,$B$35,$B$36,$B$38,$B$39)*100)</f>
        <v>3.2179980660266039</v>
      </c>
      <c r="D34" s="233"/>
      <c r="G34" s="15"/>
    </row>
    <row r="35" spans="1:7">
      <c r="A35" s="171" t="s">
        <v>74</v>
      </c>
      <c r="B35" s="33">
        <f>IF((($B$28-$B$32-$B$39-$B$77-$B$38)*C21/100)&lt;0,0,($B$28-$B$32-$B$39-$B$77-$B$38)*C21/100)</f>
        <v>1108.1095890410961</v>
      </c>
      <c r="C35" s="167">
        <f>IF(ISERROR(B35/SUM($B$32,$B$34,$B$35,$B$36,$B$38,$B$39)*100),0,B35/SUM($B$32,$B$34,$B$35,$B$36,$B$38,$B$39)*100)</f>
        <v>16.894489846639672</v>
      </c>
      <c r="D35" s="233"/>
      <c r="G35" s="15"/>
    </row>
    <row r="36" spans="1:7">
      <c r="A36" s="171" t="s">
        <v>75</v>
      </c>
      <c r="B36" s="33">
        <f>IF((($B$28-$B$32-$B$39-$B$77-$B$38)*C22/100)&lt;0,0,($B$28-$B$32-$B$39-$B$77-$B$38)*C22/100)</f>
        <v>221.62191780821919</v>
      </c>
      <c r="C36" s="167">
        <f>IF(ISERROR(B36/SUM($B$32,$B$34,$B$35,$B$36,$B$38,$B$39)*100),0,B36/SUM($B$32,$B$34,$B$35,$B$36,$B$38,$B$39)*100)</f>
        <v>3.3788979693279342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1503.1999999999998</v>
      </c>
      <c r="C39" s="167">
        <f>IF(ISERROR(B39/SUM($B$32,$B$34,$B$35,$B$36,$B$38,$B$39)*100),0,B39/SUM($B$32,$B$34,$B$35,$B$36,$B$38,$B$39)*100)</f>
        <v>22.918127763378564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3515</v>
      </c>
      <c r="C44" s="34" t="s">
        <v>111</v>
      </c>
      <c r="D44" s="174"/>
    </row>
    <row r="45" spans="1:7">
      <c r="A45" s="171" t="s">
        <v>72</v>
      </c>
      <c r="B45" s="33" t="str">
        <f t="shared" si="0"/>
        <v>-</v>
      </c>
      <c r="C45" s="34" t="s">
        <v>111</v>
      </c>
      <c r="D45" s="174"/>
    </row>
    <row r="46" spans="1:7">
      <c r="A46" s="171" t="s">
        <v>73</v>
      </c>
      <c r="B46" s="33">
        <f t="shared" si="0"/>
        <v>211.06849315068496</v>
      </c>
      <c r="C46" s="34" t="s">
        <v>111</v>
      </c>
      <c r="D46" s="174"/>
    </row>
    <row r="47" spans="1:7">
      <c r="A47" s="171" t="s">
        <v>74</v>
      </c>
      <c r="B47" s="33">
        <f t="shared" si="0"/>
        <v>1108.1095890410961</v>
      </c>
      <c r="C47" s="34" t="s">
        <v>111</v>
      </c>
      <c r="D47" s="174"/>
    </row>
    <row r="48" spans="1:7">
      <c r="A48" s="171" t="s">
        <v>75</v>
      </c>
      <c r="B48" s="33">
        <f t="shared" si="0"/>
        <v>221.62191780821919</v>
      </c>
      <c r="C48" s="33">
        <f>B48*10</f>
        <v>2216.2191780821918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1503.1999999999998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28281.2516</v>
      </c>
      <c r="C5" s="17">
        <f>IF(ISERROR('Eigen informatie GS &amp; warmtenet'!B58),0,'Eigen informatie GS &amp; warmtenet'!B58)</f>
        <v>0</v>
      </c>
      <c r="D5" s="30">
        <f>SUM(D6:D12)</f>
        <v>15761.989934900001</v>
      </c>
      <c r="E5" s="17">
        <f>SUM(E6:E12)</f>
        <v>376.39995509092108</v>
      </c>
      <c r="F5" s="17">
        <f>SUM(F6:F12)</f>
        <v>5286.5139019334902</v>
      </c>
      <c r="G5" s="18"/>
      <c r="H5" s="17"/>
      <c r="I5" s="17"/>
      <c r="J5" s="17">
        <f>SUM(J6:J12)</f>
        <v>0.13250780487194119</v>
      </c>
      <c r="K5" s="17"/>
      <c r="L5" s="17"/>
      <c r="M5" s="17"/>
      <c r="N5" s="17">
        <f>SUM(N6:N12)</f>
        <v>5237.491335671959</v>
      </c>
      <c r="O5" s="17">
        <f>B38*B39*B40</f>
        <v>6.2533333333333339</v>
      </c>
      <c r="P5" s="17">
        <f>B46*B47*B48/1000-B46*B47*B48/1000/B49</f>
        <v>114.4</v>
      </c>
      <c r="R5" s="32"/>
    </row>
    <row r="6" spans="1:18">
      <c r="A6" s="32" t="s">
        <v>54</v>
      </c>
      <c r="B6" s="37">
        <f>B26</f>
        <v>8464.1836500000027</v>
      </c>
      <c r="C6" s="33"/>
      <c r="D6" s="37">
        <f>IF(ISERROR(TER_kantoor_gas_kWh/1000),0,TER_kantoor_gas_kWh/1000)*0.902</f>
        <v>3351.9016794999998</v>
      </c>
      <c r="E6" s="33">
        <f>$C$26*'E Balans VL '!I12/100/3.6*1000000</f>
        <v>5.3050687974821216E-2</v>
      </c>
      <c r="F6" s="33">
        <f>$C$26*('E Balans VL '!L12+'E Balans VL '!N12)/100/3.6*1000000</f>
        <v>1271.9302907467943</v>
      </c>
      <c r="G6" s="34"/>
      <c r="H6" s="33"/>
      <c r="I6" s="33"/>
      <c r="J6" s="33">
        <f>$C$26*('E Balans VL '!D12+'E Balans VL '!E12)/100/3.6*1000000</f>
        <v>0</v>
      </c>
      <c r="K6" s="33"/>
      <c r="L6" s="33"/>
      <c r="M6" s="33"/>
      <c r="N6" s="33">
        <f>$C$26*'E Balans VL '!Y12/100/3.6*1000000</f>
        <v>8.0947367082751267</v>
      </c>
      <c r="O6" s="33"/>
      <c r="P6" s="33"/>
      <c r="R6" s="32"/>
    </row>
    <row r="7" spans="1:18">
      <c r="A7" s="32" t="s">
        <v>53</v>
      </c>
      <c r="B7" s="37">
        <f t="shared" ref="B7:B12" si="0">B27</f>
        <v>1888</v>
      </c>
      <c r="C7" s="33"/>
      <c r="D7" s="37">
        <f>IF(ISERROR(TER_horeca_gas_kWh/1000),0,TER_horeca_gas_kWh/1000)*0.902</f>
        <v>2088.3119334000003</v>
      </c>
      <c r="E7" s="33">
        <f>$C$27*'E Balans VL '!I9/100/3.6*1000000</f>
        <v>27.035845519233781</v>
      </c>
      <c r="F7" s="33">
        <f>$C$27*('E Balans VL '!L9+'E Balans VL '!N9)/100/3.6*1000000</f>
        <v>239.08306863895316</v>
      </c>
      <c r="G7" s="34"/>
      <c r="H7" s="33"/>
      <c r="I7" s="33"/>
      <c r="J7" s="33">
        <f>$C$27*('E Balans VL '!D9+'E Balans VL '!E9)/100/3.6*1000000</f>
        <v>0</v>
      </c>
      <c r="K7" s="33"/>
      <c r="L7" s="33"/>
      <c r="M7" s="33"/>
      <c r="N7" s="33">
        <f>$C$27*'E Balans VL '!Y9/100/3.6*1000000</f>
        <v>0.54275837317323294</v>
      </c>
      <c r="O7" s="33"/>
      <c r="P7" s="33"/>
      <c r="R7" s="32"/>
    </row>
    <row r="8" spans="1:18">
      <c r="A8" s="6" t="s">
        <v>52</v>
      </c>
      <c r="B8" s="37">
        <f t="shared" si="0"/>
        <v>9108.5229499999987</v>
      </c>
      <c r="C8" s="33"/>
      <c r="D8" s="37">
        <f>IF(ISERROR(TER_handel_gas_kWh/1000),0,TER_handel_gas_kWh/1000)*0.902</f>
        <v>4552.6276180000004</v>
      </c>
      <c r="E8" s="33">
        <f>$C$28*'E Balans VL '!I13/100/3.6*1000000</f>
        <v>330.36500418377142</v>
      </c>
      <c r="F8" s="33">
        <f>$C$28*('E Balans VL '!L13+'E Balans VL '!N13)/100/3.6*1000000</f>
        <v>1754.3937498286473</v>
      </c>
      <c r="G8" s="34"/>
      <c r="H8" s="33"/>
      <c r="I8" s="33"/>
      <c r="J8" s="33">
        <f>$C$28*('E Balans VL '!D13+'E Balans VL '!E13)/100/3.6*1000000</f>
        <v>0</v>
      </c>
      <c r="K8" s="33"/>
      <c r="L8" s="33"/>
      <c r="M8" s="33"/>
      <c r="N8" s="33">
        <f>$C$28*'E Balans VL '!Y13/100/3.6*1000000</f>
        <v>12.61740006341191</v>
      </c>
      <c r="O8" s="33"/>
      <c r="P8" s="33"/>
      <c r="R8" s="32"/>
    </row>
    <row r="9" spans="1:18">
      <c r="A9" s="32" t="s">
        <v>51</v>
      </c>
      <c r="B9" s="37">
        <f t="shared" si="0"/>
        <v>1950.587</v>
      </c>
      <c r="C9" s="33"/>
      <c r="D9" s="37">
        <f>IF(ISERROR(TER_gezond_gas_kWh/1000),0,TER_gezond_gas_kWh/1000)*0.902</f>
        <v>2932.5589479999999</v>
      </c>
      <c r="E9" s="33">
        <f>$C$29*'E Balans VL '!I10/100/3.6*1000000</f>
        <v>0.12212600476736363</v>
      </c>
      <c r="F9" s="33">
        <f>$C$29*('E Balans VL '!L10+'E Balans VL '!N10)/100/3.6*1000000</f>
        <v>289.76563782181722</v>
      </c>
      <c r="G9" s="34"/>
      <c r="H9" s="33"/>
      <c r="I9" s="33"/>
      <c r="J9" s="33">
        <f>$C$29*('E Balans VL '!D10+'E Balans VL '!E10)/100/3.6*1000000</f>
        <v>0</v>
      </c>
      <c r="K9" s="33"/>
      <c r="L9" s="33"/>
      <c r="M9" s="33"/>
      <c r="N9" s="33">
        <f>$C$29*'E Balans VL '!Y10/100/3.6*1000000</f>
        <v>30.1718679315568</v>
      </c>
      <c r="O9" s="33"/>
      <c r="P9" s="33"/>
      <c r="R9" s="32"/>
    </row>
    <row r="10" spans="1:18">
      <c r="A10" s="32" t="s">
        <v>50</v>
      </c>
      <c r="B10" s="37">
        <f t="shared" si="0"/>
        <v>6104.64</v>
      </c>
      <c r="C10" s="33"/>
      <c r="D10" s="37">
        <f>IF(ISERROR(TER_ander_gas_kWh/1000),0,TER_ander_gas_kWh/1000)*0.902</f>
        <v>1573.8988979999999</v>
      </c>
      <c r="E10" s="33">
        <f>$C$30*'E Balans VL '!I14/100/3.6*1000000</f>
        <v>7.2765127370260858</v>
      </c>
      <c r="F10" s="33">
        <f>$C$30*('E Balans VL '!L14+'E Balans VL '!N14)/100/3.6*1000000</f>
        <v>1597.2452149784997</v>
      </c>
      <c r="G10" s="34"/>
      <c r="H10" s="33"/>
      <c r="I10" s="33"/>
      <c r="J10" s="33">
        <f>$C$30*('E Balans VL '!D14+'E Balans VL '!E14)/100/3.6*1000000</f>
        <v>0.13250780487194119</v>
      </c>
      <c r="K10" s="33"/>
      <c r="L10" s="33"/>
      <c r="M10" s="33"/>
      <c r="N10" s="33">
        <f>$C$30*'E Balans VL '!Y14/100/3.6*1000000</f>
        <v>5183.9109095618514</v>
      </c>
      <c r="O10" s="33"/>
      <c r="P10" s="33"/>
      <c r="R10" s="32"/>
    </row>
    <row r="11" spans="1:18">
      <c r="A11" s="32" t="s">
        <v>55</v>
      </c>
      <c r="B11" s="37">
        <f t="shared" si="0"/>
        <v>765.31799999999998</v>
      </c>
      <c r="C11" s="33"/>
      <c r="D11" s="37">
        <f>IF(ISERROR(TER_onderwijs_gas_kWh/1000),0,TER_onderwijs_gas_kWh/1000)*0.902</f>
        <v>1262.6908579999999</v>
      </c>
      <c r="E11" s="33">
        <f>$C$31*'E Balans VL '!I11/100/3.6*1000000</f>
        <v>11.54741595814756</v>
      </c>
      <c r="F11" s="33">
        <f>$C$31*('E Balans VL '!L11+'E Balans VL '!N11)/100/3.6*1000000</f>
        <v>134.09593991877892</v>
      </c>
      <c r="G11" s="34"/>
      <c r="H11" s="33"/>
      <c r="I11" s="33"/>
      <c r="J11" s="33">
        <f>$C$31*('E Balans VL '!D11+'E Balans VL '!E11)/100/3.6*1000000</f>
        <v>0</v>
      </c>
      <c r="K11" s="33"/>
      <c r="L11" s="33"/>
      <c r="M11" s="33"/>
      <c r="N11" s="33">
        <f>$C$31*'E Balans VL '!Y11/100/3.6*1000000</f>
        <v>2.1536630336900275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67.5</v>
      </c>
      <c r="C13" s="247">
        <f ca="1">'lokale energieproductie'!O90+'lokale energieproductie'!O59</f>
        <v>96.428571428571431</v>
      </c>
      <c r="D13" s="310">
        <f ca="1">('lokale energieproductie'!P59+'lokale energieproductie'!P90)*(-1)</f>
        <v>-192.85714285714286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28348.7516</v>
      </c>
      <c r="C16" s="21">
        <f t="shared" ca="1" si="1"/>
        <v>96.428571428571431</v>
      </c>
      <c r="D16" s="21">
        <f t="shared" ca="1" si="1"/>
        <v>15569.132792042858</v>
      </c>
      <c r="E16" s="21">
        <f t="shared" si="1"/>
        <v>376.39995509092108</v>
      </c>
      <c r="F16" s="21">
        <f t="shared" ca="1" si="1"/>
        <v>5286.5139019334902</v>
      </c>
      <c r="G16" s="21">
        <f t="shared" si="1"/>
        <v>0</v>
      </c>
      <c r="H16" s="21">
        <f t="shared" si="1"/>
        <v>0</v>
      </c>
      <c r="I16" s="21">
        <f t="shared" si="1"/>
        <v>0</v>
      </c>
      <c r="J16" s="21">
        <f t="shared" si="1"/>
        <v>0.13250780487194119</v>
      </c>
      <c r="K16" s="21">
        <f t="shared" si="1"/>
        <v>0</v>
      </c>
      <c r="L16" s="21">
        <f t="shared" ca="1" si="1"/>
        <v>0</v>
      </c>
      <c r="M16" s="21">
        <f t="shared" si="1"/>
        <v>0</v>
      </c>
      <c r="N16" s="21">
        <f t="shared" ca="1" si="1"/>
        <v>5237.491335671959</v>
      </c>
      <c r="O16" s="21">
        <f>O5</f>
        <v>6.2533333333333339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0.17189954131601184</v>
      </c>
      <c r="C18" s="25">
        <f ca="1">'EF ele_warmte'!B22</f>
        <v>1.4646667278958591E-3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4873.1373969215565</v>
      </c>
      <c r="C20" s="23">
        <f t="shared" ref="C20:P20" ca="1" si="2">C16*C18</f>
        <v>0.14123572018995784</v>
      </c>
      <c r="D20" s="23">
        <f t="shared" ca="1" si="2"/>
        <v>3144.9648239926573</v>
      </c>
      <c r="E20" s="23">
        <f t="shared" si="2"/>
        <v>85.442789805639094</v>
      </c>
      <c r="F20" s="23">
        <f t="shared" ca="1" si="2"/>
        <v>1411.499211816242</v>
      </c>
      <c r="G20" s="23">
        <f t="shared" si="2"/>
        <v>0</v>
      </c>
      <c r="H20" s="23">
        <f t="shared" si="2"/>
        <v>0</v>
      </c>
      <c r="I20" s="23">
        <f t="shared" si="2"/>
        <v>0</v>
      </c>
      <c r="J20" s="23">
        <f t="shared" si="2"/>
        <v>4.6907762924667182E-2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8464.1836500000027</v>
      </c>
      <c r="C26" s="39">
        <f>IF(ISERROR(B26*3.6/1000000/'E Balans VL '!Z12*100),0,B26*3.6/1000000/'E Balans VL '!Z12*100)</f>
        <v>0.17891943401103805</v>
      </c>
      <c r="D26" s="237" t="s">
        <v>754</v>
      </c>
      <c r="F26" s="6"/>
    </row>
    <row r="27" spans="1:18">
      <c r="A27" s="231" t="s">
        <v>53</v>
      </c>
      <c r="B27" s="33">
        <f>IF(ISERROR(TER_horeca_ele_kWh/1000),0,TER_horeca_ele_kWh/1000)</f>
        <v>1888</v>
      </c>
      <c r="C27" s="39">
        <f>IF(ISERROR(B27*3.6/1000000/'E Balans VL '!Z9*100),0,B27*3.6/1000000/'E Balans VL '!Z9*100)</f>
        <v>0.14883033630647516</v>
      </c>
      <c r="D27" s="237" t="s">
        <v>754</v>
      </c>
      <c r="F27" s="6"/>
    </row>
    <row r="28" spans="1:18">
      <c r="A28" s="171" t="s">
        <v>52</v>
      </c>
      <c r="B28" s="33">
        <f>IF(ISERROR(TER_handel_ele_kWh/1000),0,TER_handel_ele_kWh/1000)</f>
        <v>9108.5229499999987</v>
      </c>
      <c r="C28" s="39">
        <f>IF(ISERROR(B28*3.6/1000000/'E Balans VL '!Z13*100),0,B28*3.6/1000000/'E Balans VL '!Z13*100)</f>
        <v>0.2643661385656691</v>
      </c>
      <c r="D28" s="237" t="s">
        <v>754</v>
      </c>
      <c r="F28" s="6"/>
    </row>
    <row r="29" spans="1:18">
      <c r="A29" s="231" t="s">
        <v>51</v>
      </c>
      <c r="B29" s="33">
        <f>IF(ISERROR(TER_gezond_ele_kWh/1000),0,TER_gezond_ele_kWh/1000)</f>
        <v>1950.587</v>
      </c>
      <c r="C29" s="39">
        <f>IF(ISERROR(B29*3.6/1000000/'E Balans VL '!Z10*100),0,B29*3.6/1000000/'E Balans VL '!Z10*100)</f>
        <v>0.20542884058399458</v>
      </c>
      <c r="D29" s="237" t="s">
        <v>754</v>
      </c>
      <c r="F29" s="6"/>
    </row>
    <row r="30" spans="1:18">
      <c r="A30" s="231" t="s">
        <v>50</v>
      </c>
      <c r="B30" s="33">
        <f>IF(ISERROR(TER_ander_ele_kWh/1000),0,TER_ander_ele_kWh/1000)</f>
        <v>6104.64</v>
      </c>
      <c r="C30" s="39">
        <f>IF(ISERROR(B30*3.6/1000000/'E Balans VL '!Z14*100),0,B30*3.6/1000000/'E Balans VL '!Z14*100)</f>
        <v>0.45027957232121241</v>
      </c>
      <c r="D30" s="237" t="s">
        <v>754</v>
      </c>
      <c r="F30" s="6"/>
    </row>
    <row r="31" spans="1:18">
      <c r="A31" s="231" t="s">
        <v>55</v>
      </c>
      <c r="B31" s="33">
        <f>IF(ISERROR(TER_onderwijs_ele_kWh/1000),0,TER_onderwijs_ele_kWh/1000)</f>
        <v>765.31799999999998</v>
      </c>
      <c r="C31" s="39">
        <f>IF(ISERROR(B31*3.6/1000000/'E Balans VL '!Z11*100),0,B31*3.6/1000000/'E Balans VL '!Z11*100)</f>
        <v>0.19006430900637716</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35297.344850000001</v>
      </c>
      <c r="C5" s="17">
        <f>IF(ISERROR('Eigen informatie GS &amp; warmtenet'!B59),0,'Eigen informatie GS &amp; warmtenet'!B59)</f>
        <v>0</v>
      </c>
      <c r="D5" s="30">
        <f>SUM(D6:D15)</f>
        <v>111629.3617846</v>
      </c>
      <c r="E5" s="17">
        <f>SUM(E6:E15)</f>
        <v>782.55622480414968</v>
      </c>
      <c r="F5" s="17">
        <f>SUM(F6:F15)</f>
        <v>4220.1642536889967</v>
      </c>
      <c r="G5" s="18"/>
      <c r="H5" s="17"/>
      <c r="I5" s="17"/>
      <c r="J5" s="17">
        <f>SUM(J6:J15)</f>
        <v>0.586932816003925</v>
      </c>
      <c r="K5" s="17"/>
      <c r="L5" s="17"/>
      <c r="M5" s="17"/>
      <c r="N5" s="17">
        <f>SUM(N6:N15)</f>
        <v>3038.8388512785655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7080.4531500000003</v>
      </c>
      <c r="C8" s="33"/>
      <c r="D8" s="37">
        <f>IF( ISERROR(IND_metaal_Gas_kWH/1000),0,IND_metaal_Gas_kWH/1000)*0.902</f>
        <v>2912.7181952000001</v>
      </c>
      <c r="E8" s="33">
        <f>C30*'E Balans VL '!I18/100/3.6*1000000</f>
        <v>65.097928347564661</v>
      </c>
      <c r="F8" s="33">
        <f>C30*'E Balans VL '!L18/100/3.6*1000000+C30*'E Balans VL '!N18/100/3.6*1000000</f>
        <v>663.91077332274779</v>
      </c>
      <c r="G8" s="34"/>
      <c r="H8" s="33"/>
      <c r="I8" s="33"/>
      <c r="J8" s="40">
        <f>C30*'E Balans VL '!D18/100/3.6*1000000+C30*'E Balans VL '!E18/100/3.6*1000000</f>
        <v>0</v>
      </c>
      <c r="K8" s="33"/>
      <c r="L8" s="33"/>
      <c r="M8" s="33"/>
      <c r="N8" s="33">
        <f>C30*'E Balans VL '!Y18/100/3.6*1000000</f>
        <v>101.01436512631928</v>
      </c>
      <c r="O8" s="33"/>
      <c r="P8" s="33"/>
      <c r="R8" s="32"/>
    </row>
    <row r="9" spans="1:18">
      <c r="A9" s="6" t="s">
        <v>33</v>
      </c>
      <c r="B9" s="37">
        <f t="shared" si="0"/>
        <v>2233.5178999999994</v>
      </c>
      <c r="C9" s="33"/>
      <c r="D9" s="37">
        <f>IF( ISERROR(IND_andere_gas_kWh/1000),0,IND_andere_gas_kWh/1000)*0.902</f>
        <v>1714.9200134</v>
      </c>
      <c r="E9" s="33">
        <f>C31*'E Balans VL '!I19/100/3.6*1000000</f>
        <v>652.90076363490368</v>
      </c>
      <c r="F9" s="33">
        <f>C31*'E Balans VL '!L19/100/3.6*1000000+C31*'E Balans VL '!N19/100/3.6*1000000</f>
        <v>1794.8006944206325</v>
      </c>
      <c r="G9" s="34"/>
      <c r="H9" s="33"/>
      <c r="I9" s="33"/>
      <c r="J9" s="40">
        <f>C31*'E Balans VL '!D19/100/3.6*1000000+C31*'E Balans VL '!E19/100/3.6*1000000</f>
        <v>0</v>
      </c>
      <c r="K9" s="33"/>
      <c r="L9" s="33"/>
      <c r="M9" s="33"/>
      <c r="N9" s="33">
        <f>C31*'E Balans VL '!Y19/100/3.6*1000000</f>
        <v>737.98895356669277</v>
      </c>
      <c r="O9" s="33"/>
      <c r="P9" s="33"/>
      <c r="R9" s="32"/>
    </row>
    <row r="10" spans="1:18">
      <c r="A10" s="6" t="s">
        <v>41</v>
      </c>
      <c r="B10" s="37">
        <f t="shared" si="0"/>
        <v>25039.085800000001</v>
      </c>
      <c r="C10" s="33"/>
      <c r="D10" s="37">
        <f>IF( ISERROR(IND_voed_gas_kWh/1000),0,IND_voed_gas_kWh/1000)*0.902</f>
        <v>106739.02239000001</v>
      </c>
      <c r="E10" s="33">
        <f>C32*'E Balans VL '!I20/100/3.6*1000000</f>
        <v>52.970574245523537</v>
      </c>
      <c r="F10" s="33">
        <f>C32*'E Balans VL '!L20/100/3.6*1000000+C32*'E Balans VL '!N20/100/3.6*1000000</f>
        <v>1592.0106518401205</v>
      </c>
      <c r="G10" s="34"/>
      <c r="H10" s="33"/>
      <c r="I10" s="33"/>
      <c r="J10" s="40">
        <f>C32*'E Balans VL '!D20/100/3.6*1000000+C32*'E Balans VL '!E20/100/3.6*1000000</f>
        <v>0</v>
      </c>
      <c r="K10" s="33"/>
      <c r="L10" s="33"/>
      <c r="M10" s="33"/>
      <c r="N10" s="33">
        <f>C32*'E Balans VL '!Y20/100/3.6*1000000</f>
        <v>1727.9440119362575</v>
      </c>
      <c r="O10" s="33"/>
      <c r="P10" s="33"/>
      <c r="R10" s="32"/>
    </row>
    <row r="11" spans="1:18">
      <c r="A11" s="6" t="s">
        <v>40</v>
      </c>
      <c r="B11" s="37">
        <f t="shared" si="0"/>
        <v>471.71499999999997</v>
      </c>
      <c r="C11" s="33"/>
      <c r="D11" s="37">
        <f>IF( ISERROR(IND_textiel_gas_kWh/1000),0,IND_textiel_gas_kWh/1000)*0.902</f>
        <v>0</v>
      </c>
      <c r="E11" s="33">
        <f>C33*'E Balans VL '!I21/100/3.6*1000000</f>
        <v>1.4009528803485614</v>
      </c>
      <c r="F11" s="33">
        <f>C33*'E Balans VL '!L21/100/3.6*1000000+C33*'E Balans VL '!N21/100/3.6*1000000</f>
        <v>47.656165518618067</v>
      </c>
      <c r="G11" s="34"/>
      <c r="H11" s="33"/>
      <c r="I11" s="33"/>
      <c r="J11" s="40">
        <f>C33*'E Balans VL '!D21/100/3.6*1000000+C33*'E Balans VL '!E21/100/3.6*1000000</f>
        <v>0</v>
      </c>
      <c r="K11" s="33"/>
      <c r="L11" s="33"/>
      <c r="M11" s="33"/>
      <c r="N11" s="33">
        <f>C33*'E Balans VL '!Y21/100/3.6*1000000</f>
        <v>26.016587659670645</v>
      </c>
      <c r="O11" s="33"/>
      <c r="P11" s="33"/>
      <c r="R11" s="32"/>
    </row>
    <row r="12" spans="1:18">
      <c r="A12" s="6" t="s">
        <v>37</v>
      </c>
      <c r="B12" s="37">
        <f t="shared" si="0"/>
        <v>345.17700000000002</v>
      </c>
      <c r="C12" s="33"/>
      <c r="D12" s="37">
        <f>IF( ISERROR(IND_min_gas_kWh/1000),0,IND_min_gas_kWh/1000)*0.902</f>
        <v>77.872366</v>
      </c>
      <c r="E12" s="33">
        <f>C34*'E Balans VL '!I22/100/3.6*1000000</f>
        <v>10.005259907048243</v>
      </c>
      <c r="F12" s="33">
        <f>C34*'E Balans VL '!L22/100/3.6*1000000+C34*'E Balans VL '!N22/100/3.6*1000000</f>
        <v>118.67575318703274</v>
      </c>
      <c r="G12" s="34"/>
      <c r="H12" s="33"/>
      <c r="I12" s="33"/>
      <c r="J12" s="40">
        <f>C34*'E Balans VL '!D22/100/3.6*1000000+C34*'E Balans VL '!E22/100/3.6*1000000</f>
        <v>0.56722982853739179</v>
      </c>
      <c r="K12" s="33"/>
      <c r="L12" s="33"/>
      <c r="M12" s="33"/>
      <c r="N12" s="33">
        <f>C34*'E Balans VL '!Y22/100/3.6*1000000</f>
        <v>75.564917694185752</v>
      </c>
      <c r="O12" s="33"/>
      <c r="P12" s="33"/>
      <c r="R12" s="32"/>
    </row>
    <row r="13" spans="1:18">
      <c r="A13" s="6" t="s">
        <v>39</v>
      </c>
      <c r="B13" s="37">
        <f t="shared" si="0"/>
        <v>127.396</v>
      </c>
      <c r="C13" s="33"/>
      <c r="D13" s="37">
        <f>IF( ISERROR(IND_papier_gas_kWh/1000),0,IND_papier_gas_kWh/1000)*0.902</f>
        <v>184.82882000000001</v>
      </c>
      <c r="E13" s="33">
        <f>C35*'E Balans VL '!I23/100/3.6*1000000</f>
        <v>0.1807457887609763</v>
      </c>
      <c r="F13" s="33">
        <f>C35*'E Balans VL '!L23/100/3.6*1000000+C35*'E Balans VL '!N23/100/3.6*1000000</f>
        <v>3.1102153998458113</v>
      </c>
      <c r="G13" s="34"/>
      <c r="H13" s="33"/>
      <c r="I13" s="33"/>
      <c r="J13" s="40">
        <f>C35*'E Balans VL '!D23/100/3.6*1000000+C35*'E Balans VL '!E23/100/3.6*1000000</f>
        <v>1.9702987466533251E-2</v>
      </c>
      <c r="K13" s="33"/>
      <c r="L13" s="33"/>
      <c r="M13" s="33"/>
      <c r="N13" s="33">
        <f>C35*'E Balans VL '!Y23/100/3.6*1000000</f>
        <v>370.31001529543971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35297.344850000001</v>
      </c>
      <c r="C18" s="21">
        <f>C5+C16</f>
        <v>0</v>
      </c>
      <c r="D18" s="21">
        <f>MAX((D5+D16),0)</f>
        <v>111629.3617846</v>
      </c>
      <c r="E18" s="21">
        <f>MAX((E5+E16),0)</f>
        <v>782.55622480414968</v>
      </c>
      <c r="F18" s="21">
        <f>MAX((F5+F16),0)</f>
        <v>4220.1642536889967</v>
      </c>
      <c r="G18" s="21"/>
      <c r="H18" s="21"/>
      <c r="I18" s="21"/>
      <c r="J18" s="21">
        <f>MAX((J5+J16),0)</f>
        <v>0.586932816003925</v>
      </c>
      <c r="K18" s="21"/>
      <c r="L18" s="21">
        <f>MAX((L5+L16),0)</f>
        <v>0</v>
      </c>
      <c r="M18" s="21"/>
      <c r="N18" s="21">
        <f>MAX((N5+N16),0)</f>
        <v>3038.8388512785655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0.17189954131601184</v>
      </c>
      <c r="C20" s="25">
        <f ca="1">'EF ele_warmte'!B22</f>
        <v>1.4646667278958591E-3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6067.5973893880928</v>
      </c>
      <c r="C22" s="23">
        <f ca="1">C18*C20</f>
        <v>0</v>
      </c>
      <c r="D22" s="23">
        <f>D18*D20</f>
        <v>22549.131080489202</v>
      </c>
      <c r="E22" s="23">
        <f>E18*E20</f>
        <v>177.64026303054197</v>
      </c>
      <c r="F22" s="23">
        <f>F18*F20</f>
        <v>1126.7838557349621</v>
      </c>
      <c r="G22" s="23"/>
      <c r="H22" s="23"/>
      <c r="I22" s="23"/>
      <c r="J22" s="23">
        <f>J18*J20</f>
        <v>0.20777421686538944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7080.4531500000003</v>
      </c>
      <c r="C30" s="39">
        <f>IF(ISERROR(B30*3.6/1000000/'E Balans VL '!Z18*100),0,B30*3.6/1000000/'E Balans VL '!Z18*100)</f>
        <v>0.40126743547983218</v>
      </c>
      <c r="D30" s="237" t="s">
        <v>754</v>
      </c>
    </row>
    <row r="31" spans="1:18">
      <c r="A31" s="6" t="s">
        <v>33</v>
      </c>
      <c r="B31" s="37">
        <f>IF( ISERROR(IND_ander_ele_kWh/1000),0,IND_ander_ele_kWh/1000)</f>
        <v>2233.5178999999994</v>
      </c>
      <c r="C31" s="39">
        <f>IF(ISERROR(B31*3.6/1000000/'E Balans VL '!Z19*100),0,B31*3.6/1000000/'E Balans VL '!Z19*100)</f>
        <v>0.10130307173733162</v>
      </c>
      <c r="D31" s="237" t="s">
        <v>754</v>
      </c>
    </row>
    <row r="32" spans="1:18">
      <c r="A32" s="171" t="s">
        <v>41</v>
      </c>
      <c r="B32" s="37">
        <f>IF( ISERROR(IND_voed_ele_kWh/1000),0,IND_voed_ele_kWh/1000)</f>
        <v>25039.085800000001</v>
      </c>
      <c r="C32" s="39">
        <f>IF(ISERROR(B32*3.6/1000000/'E Balans VL '!Z20*100),0,B32*3.6/1000000/'E Balans VL '!Z20*100)</f>
        <v>0.77457259164593084</v>
      </c>
      <c r="D32" s="237" t="s">
        <v>754</v>
      </c>
    </row>
    <row r="33" spans="1:5">
      <c r="A33" s="171" t="s">
        <v>40</v>
      </c>
      <c r="B33" s="37">
        <f>IF( ISERROR(IND_textiel_ele_kWh/1000),0,IND_textiel_ele_kWh/1000)</f>
        <v>471.71499999999997</v>
      </c>
      <c r="C33" s="39">
        <f>IF(ISERROR(B33*3.6/1000000/'E Balans VL '!Z21*100),0,B33*3.6/1000000/'E Balans VL '!Z21*100)</f>
        <v>6.1506392620781412E-2</v>
      </c>
      <c r="D33" s="237" t="s">
        <v>754</v>
      </c>
    </row>
    <row r="34" spans="1:5">
      <c r="A34" s="171" t="s">
        <v>37</v>
      </c>
      <c r="B34" s="37">
        <f>IF( ISERROR(IND_min_ele_kWh/1000),0,IND_min_ele_kWh/1000)</f>
        <v>345.17700000000002</v>
      </c>
      <c r="C34" s="39">
        <f>IF(ISERROR(B34*3.6/1000000/'E Balans VL '!Z22*100),0,B34*3.6/1000000/'E Balans VL '!Z22*100)</f>
        <v>6.2086572901630256E-2</v>
      </c>
      <c r="D34" s="237" t="s">
        <v>754</v>
      </c>
    </row>
    <row r="35" spans="1:5">
      <c r="A35" s="171" t="s">
        <v>39</v>
      </c>
      <c r="B35" s="37">
        <f>IF( ISERROR(IND_papier_ele_kWh/1000),0,IND_papier_ele_kWh/1000)</f>
        <v>127.396</v>
      </c>
      <c r="C35" s="39">
        <f>IF(ISERROR(B35*3.6/1000000/'E Balans VL '!Z22*100),0,B35*3.6/1000000/'E Balans VL '!Z22*100)</f>
        <v>2.2914565690576396E-2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5551.4269999999997</v>
      </c>
      <c r="C5" s="17">
        <f>'Eigen informatie GS &amp; warmtenet'!B60</f>
        <v>0</v>
      </c>
      <c r="D5" s="30">
        <f>IF(ISERROR(SUM(LB_lb_gas_kWh,LB_rest_gas_kWh,onbekend_gas_kWh)/1000),0,SUM(LB_lb_gas_kWh,LB_rest_gas_kWh,onbekend_gas_kWh)/1000)*0.902</f>
        <v>5429.2056499999999</v>
      </c>
      <c r="E5" s="17">
        <f>B17*'E Balans VL '!I25/3.6*1000000/100</f>
        <v>163.17339554514666</v>
      </c>
      <c r="F5" s="17">
        <f>B17*('E Balans VL '!L25/3.6*1000000+'E Balans VL '!N25/3.6*1000000)/100</f>
        <v>23126.944898630347</v>
      </c>
      <c r="G5" s="18"/>
      <c r="H5" s="17"/>
      <c r="I5" s="17"/>
      <c r="J5" s="17">
        <f>('E Balans VL '!D25+'E Balans VL '!E25)/3.6*1000000*landbouw!B17/100</f>
        <v>804.28255404049708</v>
      </c>
      <c r="K5" s="17"/>
      <c r="L5" s="17">
        <f>L6*(-1)</f>
        <v>0</v>
      </c>
      <c r="M5" s="17"/>
      <c r="N5" s="17">
        <f>N6*(-1)</f>
        <v>31098.857142857149</v>
      </c>
      <c r="O5" s="17"/>
      <c r="P5" s="17"/>
      <c r="R5" s="32"/>
    </row>
    <row r="6" spans="1:18">
      <c r="A6" s="16" t="s">
        <v>488</v>
      </c>
      <c r="B6" s="17" t="s">
        <v>211</v>
      </c>
      <c r="C6" s="17">
        <f>'lokale energieproductie'!O91+'lokale energieproductie'!O60</f>
        <v>15549.428571428572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-31098.857142857149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5551.4269999999997</v>
      </c>
      <c r="C8" s="21">
        <f>C5+C6</f>
        <v>15549.428571428572</v>
      </c>
      <c r="D8" s="21">
        <f>MAX((D5+D6),0)</f>
        <v>5429.2056499999999</v>
      </c>
      <c r="E8" s="21">
        <f>MAX((E5+E6),0)</f>
        <v>163.17339554514666</v>
      </c>
      <c r="F8" s="21">
        <f>MAX((F5+F6),0)</f>
        <v>23126.944898630347</v>
      </c>
      <c r="G8" s="21"/>
      <c r="H8" s="21"/>
      <c r="I8" s="21"/>
      <c r="J8" s="21">
        <f>MAX((J5+J6),0)</f>
        <v>804.28255404049708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0.17189954131601184</v>
      </c>
      <c r="C10" s="31">
        <f ca="1">'EF ele_warmte'!B22</f>
        <v>1.4646667278958591E-3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954.28775494932358</v>
      </c>
      <c r="C12" s="23">
        <f ca="1">C8*C10</f>
        <v>22.774730666364672</v>
      </c>
      <c r="D12" s="23">
        <f>D8*D10</f>
        <v>1096.6995413</v>
      </c>
      <c r="E12" s="23">
        <f>E8*E10</f>
        <v>37.040360788748295</v>
      </c>
      <c r="F12" s="23">
        <f>F8*F10</f>
        <v>6174.8942879343031</v>
      </c>
      <c r="G12" s="23"/>
      <c r="H12" s="23"/>
      <c r="I12" s="23"/>
      <c r="J12" s="23">
        <f>J8*J10</f>
        <v>284.71602413033594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0.78776490837104596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971.29945550098205</v>
      </c>
      <c r="C26" s="247">
        <f>B26*'GWP N2O_CH4'!B5</f>
        <v>20397.288565520623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379.64781917623714</v>
      </c>
      <c r="C27" s="247">
        <f>B27*'GWP N2O_CH4'!B5</f>
        <v>7972.6042027009798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12.51575445446894</v>
      </c>
      <c r="C28" s="247">
        <f>B28*'GWP N2O_CH4'!B4</f>
        <v>3879.8838808853716</v>
      </c>
      <c r="D28" s="50"/>
    </row>
    <row r="29" spans="1:4">
      <c r="A29" s="41" t="s">
        <v>277</v>
      </c>
      <c r="B29" s="247">
        <f>B34*'ha_N2O bodem landbouw'!B4</f>
        <v>26.570965233187817</v>
      </c>
      <c r="C29" s="247">
        <f>B29*'GWP N2O_CH4'!B4</f>
        <v>8236.9992222882229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6.0634026985936906E-3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1.6166966273504471E-4</v>
      </c>
      <c r="C5" s="463" t="s">
        <v>211</v>
      </c>
      <c r="D5" s="448">
        <f>SUM(D6:D11)</f>
        <v>5.4668191998675055E-4</v>
      </c>
      <c r="E5" s="448">
        <f>SUM(E6:E11)</f>
        <v>7.3259790270697436E-4</v>
      </c>
      <c r="F5" s="461" t="s">
        <v>211</v>
      </c>
      <c r="G5" s="448">
        <f>SUM(G6:G11)</f>
        <v>0.27173702033453895</v>
      </c>
      <c r="H5" s="448">
        <f>SUM(H6:H11)</f>
        <v>6.1740900407165969E-2</v>
      </c>
      <c r="I5" s="463" t="s">
        <v>211</v>
      </c>
      <c r="J5" s="463" t="s">
        <v>211</v>
      </c>
      <c r="K5" s="463" t="s">
        <v>211</v>
      </c>
      <c r="L5" s="463" t="s">
        <v>211</v>
      </c>
      <c r="M5" s="448">
        <f>SUM(M6:M11)</f>
        <v>1.7708816853460381E-2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1.3520151738866343E-4</v>
      </c>
      <c r="C6" s="449"/>
      <c r="D6" s="962">
        <f>vkm_2011_GW_PW*SUMIFS(TableVerdeelsleutelVkm[CNG],TableVerdeelsleutelVkm[Voertuigtype],"Lichte voertuigen")*SUMIFS(TableECFTransport[EnergieConsumptieFactor (PJ per km)],TableECFTransport[Index],CONCATENATE($A6,"_CNG_CNG"))</f>
        <v>4.0552695355345551E-4</v>
      </c>
      <c r="E6" s="962">
        <f>vkm_2011_GW_PW*SUMIFS(TableVerdeelsleutelVkm[LPG],TableVerdeelsleutelVkm[Voertuigtype],"Lichte voertuigen")*SUMIFS(TableECFTransport[EnergieConsumptieFactor (PJ per km)],TableECFTransport[Index],CONCATENATE($A6,"_LPG_LPG"))</f>
        <v>5.5400806963015379E-4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0.14324109068172197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4.6115957373359155E-2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9.7375080610638334E-3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8.1240194546675235E-2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2.4756029745418136E-5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4.7474072111922715E-3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2.6468145346381274E-5</v>
      </c>
      <c r="C8" s="449"/>
      <c r="D8" s="451">
        <f>vkm_2011_NGW_PW*SUMIFS(TableVerdeelsleutelVkm[CNG],TableVerdeelsleutelVkm[Voertuigtype],"Lichte voertuigen")*SUMIFS(TableECFTransport[EnergieConsumptieFactor (PJ per km)],TableECFTransport[Index],CONCATENATE($A8,"_CNG_CNG"))</f>
        <v>1.4115496643329507E-4</v>
      </c>
      <c r="E8" s="451">
        <f>vkm_2011_NGW_PW*SUMIFS(TableVerdeelsleutelVkm[LPG],TableVerdeelsleutelVkm[Voertuigtype],"Lichte voertuigen")*SUMIFS(TableECFTransport[EnergieConsumptieFactor (PJ per km)],TableECFTransport[Index],CONCATENATE($A8,"_LPG_LPG"))</f>
        <v>1.7858983307682057E-4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4.3030348618747279E-2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1.5598974852481046E-2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2.9769862634538846E-3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4.2253864873944367E-3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1.2121515803515825E-6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2.4691531775039355E-4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44.908239648623535</v>
      </c>
      <c r="C14" s="21"/>
      <c r="D14" s="21">
        <f t="shared" ref="D14:M14" si="0">((D5)*10^9/3600)+D12</f>
        <v>151.85608888520849</v>
      </c>
      <c r="E14" s="21">
        <f t="shared" si="0"/>
        <v>203.499417418604</v>
      </c>
      <c r="F14" s="21"/>
      <c r="G14" s="21">
        <f t="shared" si="0"/>
        <v>75482.505648483042</v>
      </c>
      <c r="H14" s="21">
        <f t="shared" si="0"/>
        <v>17150.250113101658</v>
      </c>
      <c r="I14" s="21"/>
      <c r="J14" s="21"/>
      <c r="K14" s="21"/>
      <c r="L14" s="21"/>
      <c r="M14" s="21">
        <f t="shared" si="0"/>
        <v>4919.1157926278838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0.17189954131601184</v>
      </c>
      <c r="C16" s="56">
        <f ca="1">'EF ele_warmte'!B22</f>
        <v>1.4646667278958591E-3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7.719705796907923</v>
      </c>
      <c r="C18" s="23"/>
      <c r="D18" s="23">
        <f t="shared" ref="D18:M18" si="1">D14*D16</f>
        <v>30.674929954812118</v>
      </c>
      <c r="E18" s="23">
        <f t="shared" si="1"/>
        <v>46.194367754023112</v>
      </c>
      <c r="F18" s="23"/>
      <c r="G18" s="23">
        <f t="shared" si="1"/>
        <v>20153.829008144974</v>
      </c>
      <c r="H18" s="23">
        <f t="shared" si="1"/>
        <v>4270.4122781623128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7.2668433210769413E-3</v>
      </c>
      <c r="H50" s="321">
        <f t="shared" si="2"/>
        <v>0</v>
      </c>
      <c r="I50" s="321">
        <f t="shared" si="2"/>
        <v>0</v>
      </c>
      <c r="J50" s="321">
        <f t="shared" si="2"/>
        <v>0</v>
      </c>
      <c r="K50" s="321">
        <f t="shared" si="2"/>
        <v>0</v>
      </c>
      <c r="L50" s="321">
        <f t="shared" si="2"/>
        <v>0</v>
      </c>
      <c r="M50" s="321">
        <f t="shared" si="2"/>
        <v>4.1272462060225465E-4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7.2668433210769413E-3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4.1272462060225465E-4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2018.5675891880394</v>
      </c>
      <c r="H54" s="21">
        <f t="shared" si="3"/>
        <v>0</v>
      </c>
      <c r="I54" s="21">
        <f t="shared" si="3"/>
        <v>0</v>
      </c>
      <c r="J54" s="21">
        <f t="shared" si="3"/>
        <v>0</v>
      </c>
      <c r="K54" s="21">
        <f t="shared" si="3"/>
        <v>0</v>
      </c>
      <c r="L54" s="21">
        <f t="shared" si="3"/>
        <v>0</v>
      </c>
      <c r="M54" s="21">
        <f t="shared" si="3"/>
        <v>114.64572794507073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0.17189954131601184</v>
      </c>
      <c r="C56" s="56">
        <f ca="1">'EF ele_warmte'!B22</f>
        <v>1.4646667278958591E-3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538.95754631320654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10791.390117577905</v>
      </c>
      <c r="C6" s="1204"/>
      <c r="D6" s="1189"/>
      <c r="E6" s="1189"/>
      <c r="F6" s="1207"/>
      <c r="G6" s="1210"/>
      <c r="H6" s="1201"/>
      <c r="I6" s="1189"/>
      <c r="J6" s="1189"/>
      <c r="K6" s="1189"/>
      <c r="L6" s="1193"/>
      <c r="M6" s="575"/>
      <c r="N6" s="1167"/>
      <c r="O6" s="1168"/>
      <c r="Q6" s="573"/>
      <c r="R6" s="1155"/>
      <c r="S6" s="1155"/>
    </row>
    <row r="7" spans="1:19" s="563" customFormat="1">
      <c r="A7" s="576" t="s">
        <v>252</v>
      </c>
      <c r="B7" s="577">
        <f>N57</f>
        <v>10952.1</v>
      </c>
      <c r="C7" s="578">
        <f>B100</f>
        <v>79.411764705882348</v>
      </c>
      <c r="D7" s="579"/>
      <c r="E7" s="579">
        <f>E100</f>
        <v>0</v>
      </c>
      <c r="F7" s="580"/>
      <c r="G7" s="581"/>
      <c r="H7" s="579">
        <f>I100</f>
        <v>0</v>
      </c>
      <c r="I7" s="579">
        <f>G100+F100</f>
        <v>0</v>
      </c>
      <c r="J7" s="579">
        <f>H100+D100+C100</f>
        <v>12805.411764705885</v>
      </c>
      <c r="K7" s="579"/>
      <c r="L7" s="582"/>
      <c r="M7" s="583">
        <f>C7*$C$11+D7*$D$11+E7*$E$11+F7*$F$11+G7*$G$11+H7*$H$11+I7*$I$11+J7*$J$11</f>
        <v>16.041176470588237</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21743.490117577905</v>
      </c>
      <c r="C9" s="594">
        <f t="shared" ref="C9:L9" si="0">SUM(C7:C8)</f>
        <v>79.411764705882348</v>
      </c>
      <c r="D9" s="594">
        <f t="shared" si="0"/>
        <v>0</v>
      </c>
      <c r="E9" s="594">
        <f t="shared" si="0"/>
        <v>0</v>
      </c>
      <c r="F9" s="594">
        <f t="shared" si="0"/>
        <v>0</v>
      </c>
      <c r="G9" s="594">
        <f t="shared" si="0"/>
        <v>0</v>
      </c>
      <c r="H9" s="594">
        <f t="shared" si="0"/>
        <v>0</v>
      </c>
      <c r="I9" s="594">
        <f t="shared" si="0"/>
        <v>0</v>
      </c>
      <c r="J9" s="594">
        <f t="shared" si="0"/>
        <v>12805.411764705885</v>
      </c>
      <c r="K9" s="594">
        <f t="shared" si="0"/>
        <v>0</v>
      </c>
      <c r="L9" s="594">
        <f t="shared" si="0"/>
        <v>0</v>
      </c>
      <c r="M9" s="595">
        <f>SUM(M4:M8)</f>
        <v>16.041176470588237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15645.857142857143</v>
      </c>
      <c r="C16" s="610">
        <f>B101</f>
        <v>113.44537815126051</v>
      </c>
      <c r="D16" s="611"/>
      <c r="E16" s="611">
        <f>E101</f>
        <v>0</v>
      </c>
      <c r="F16" s="612"/>
      <c r="G16" s="613"/>
      <c r="H16" s="610">
        <f>I101</f>
        <v>0</v>
      </c>
      <c r="I16" s="611">
        <f>G101+F101</f>
        <v>0</v>
      </c>
      <c r="J16" s="611">
        <f>H101+D101+C101</f>
        <v>18293.445378151264</v>
      </c>
      <c r="K16" s="611"/>
      <c r="L16" s="614"/>
      <c r="M16" s="615">
        <f>C16*$C$21+E16*$E$21+H16*$H$21+I16*$I$21+J16*$J$21+D16*$D$21+F16*$F$21+G16*$G$21+K16*$K$21+L16*$L$21</f>
        <v>22.915966386554626</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15645.857142857143</v>
      </c>
      <c r="C19" s="593">
        <f>SUM(C16:C18)</f>
        <v>113.44537815126051</v>
      </c>
      <c r="D19" s="593">
        <f t="shared" ref="D19:M19" si="1">SUM(D16:D18)</f>
        <v>0</v>
      </c>
      <c r="E19" s="593">
        <f t="shared" si="1"/>
        <v>0</v>
      </c>
      <c r="F19" s="593">
        <f t="shared" si="1"/>
        <v>0</v>
      </c>
      <c r="G19" s="593">
        <f t="shared" si="1"/>
        <v>0</v>
      </c>
      <c r="H19" s="593">
        <f t="shared" si="1"/>
        <v>0</v>
      </c>
      <c r="I19" s="593">
        <f t="shared" si="1"/>
        <v>0</v>
      </c>
      <c r="J19" s="593">
        <f t="shared" si="1"/>
        <v>18293.445378151264</v>
      </c>
      <c r="K19" s="593">
        <f t="shared" si="1"/>
        <v>0</v>
      </c>
      <c r="L19" s="593">
        <f t="shared" si="1"/>
        <v>0</v>
      </c>
      <c r="M19" s="620">
        <f t="shared" si="1"/>
        <v>22.915966386554626</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72004</v>
      </c>
      <c r="C27" s="851">
        <v>3960</v>
      </c>
      <c r="D27" s="672" t="s">
        <v>809</v>
      </c>
      <c r="E27" s="671" t="s">
        <v>810</v>
      </c>
      <c r="F27" s="671" t="s">
        <v>811</v>
      </c>
      <c r="G27" s="671" t="s">
        <v>812</v>
      </c>
      <c r="H27" s="671" t="s">
        <v>813</v>
      </c>
      <c r="I27" s="671" t="s">
        <v>810</v>
      </c>
      <c r="J27" s="850">
        <v>41068</v>
      </c>
      <c r="K27" s="850">
        <v>41275</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25.5">
      <c r="A28" s="624"/>
      <c r="B28" s="851">
        <v>72004</v>
      </c>
      <c r="C28" s="851">
        <v>3960</v>
      </c>
      <c r="D28" s="672" t="s">
        <v>815</v>
      </c>
      <c r="E28" s="671" t="s">
        <v>816</v>
      </c>
      <c r="F28" s="671" t="s">
        <v>817</v>
      </c>
      <c r="G28" s="671" t="s">
        <v>812</v>
      </c>
      <c r="H28" s="671" t="s">
        <v>813</v>
      </c>
      <c r="I28" s="671" t="s">
        <v>818</v>
      </c>
      <c r="J28" s="850">
        <v>41078</v>
      </c>
      <c r="K28" s="850">
        <v>41275</v>
      </c>
      <c r="L28" s="671" t="s">
        <v>814</v>
      </c>
      <c r="M28" s="671">
        <v>19.399999999999999</v>
      </c>
      <c r="N28" s="671">
        <v>87.299999999999983</v>
      </c>
      <c r="O28" s="671">
        <v>124.71428571428569</v>
      </c>
      <c r="P28" s="671">
        <v>0</v>
      </c>
      <c r="Q28" s="671">
        <v>249.42857142857139</v>
      </c>
      <c r="R28" s="671">
        <v>0</v>
      </c>
      <c r="S28" s="671">
        <v>0</v>
      </c>
      <c r="T28" s="671">
        <v>0</v>
      </c>
      <c r="U28" s="671">
        <v>0</v>
      </c>
      <c r="V28" s="671">
        <v>0</v>
      </c>
      <c r="W28" s="671">
        <v>0</v>
      </c>
      <c r="X28" s="671">
        <v>10</v>
      </c>
      <c r="Y28" s="671" t="s">
        <v>112</v>
      </c>
      <c r="Z28" s="673" t="s">
        <v>112</v>
      </c>
    </row>
    <row r="29" spans="1:26" s="625" customFormat="1" ht="25.5">
      <c r="A29" s="624"/>
      <c r="B29" s="851">
        <v>72004</v>
      </c>
      <c r="C29" s="851">
        <v>3960</v>
      </c>
      <c r="D29" s="672" t="s">
        <v>819</v>
      </c>
      <c r="E29" s="671" t="s">
        <v>820</v>
      </c>
      <c r="F29" s="671" t="s">
        <v>821</v>
      </c>
      <c r="G29" s="671" t="s">
        <v>812</v>
      </c>
      <c r="H29" s="671" t="s">
        <v>813</v>
      </c>
      <c r="I29" s="671" t="s">
        <v>822</v>
      </c>
      <c r="J29" s="850">
        <v>41382</v>
      </c>
      <c r="K29" s="850">
        <v>41382</v>
      </c>
      <c r="L29" s="671" t="s">
        <v>814</v>
      </c>
      <c r="M29" s="671">
        <v>2380</v>
      </c>
      <c r="N29" s="671">
        <v>10710</v>
      </c>
      <c r="O29" s="671">
        <v>15300</v>
      </c>
      <c r="P29" s="671">
        <v>0</v>
      </c>
      <c r="Q29" s="671">
        <v>30600.000000000004</v>
      </c>
      <c r="R29" s="671">
        <v>0</v>
      </c>
      <c r="S29" s="671">
        <v>0</v>
      </c>
      <c r="T29" s="671">
        <v>0</v>
      </c>
      <c r="U29" s="671">
        <v>0</v>
      </c>
      <c r="V29" s="671">
        <v>0</v>
      </c>
      <c r="W29" s="671">
        <v>0</v>
      </c>
      <c r="X29" s="671">
        <v>10</v>
      </c>
      <c r="Y29" s="671" t="s">
        <v>112</v>
      </c>
      <c r="Z29" s="673" t="s">
        <v>112</v>
      </c>
    </row>
    <row r="30" spans="1:26" s="625" customFormat="1" ht="25.5">
      <c r="A30" s="624"/>
      <c r="B30" s="851">
        <v>72004</v>
      </c>
      <c r="C30" s="851">
        <v>3960</v>
      </c>
      <c r="D30" s="672" t="s">
        <v>823</v>
      </c>
      <c r="E30" s="671" t="s">
        <v>824</v>
      </c>
      <c r="F30" s="671" t="s">
        <v>825</v>
      </c>
      <c r="G30" s="671" t="s">
        <v>812</v>
      </c>
      <c r="H30" s="671" t="s">
        <v>813</v>
      </c>
      <c r="I30" s="671" t="s">
        <v>824</v>
      </c>
      <c r="J30" s="850">
        <v>41252</v>
      </c>
      <c r="K30" s="850">
        <v>41865</v>
      </c>
      <c r="L30" s="671" t="s">
        <v>814</v>
      </c>
      <c r="M30" s="671">
        <v>15</v>
      </c>
      <c r="N30" s="671">
        <v>67.5</v>
      </c>
      <c r="O30" s="671">
        <v>96.428571428571431</v>
      </c>
      <c r="P30" s="671">
        <v>192.85714285714286</v>
      </c>
      <c r="Q30" s="671">
        <v>0</v>
      </c>
      <c r="R30" s="671">
        <v>0</v>
      </c>
      <c r="S30" s="671">
        <v>0</v>
      </c>
      <c r="T30" s="671">
        <v>0</v>
      </c>
      <c r="U30" s="671">
        <v>0</v>
      </c>
      <c r="V30" s="671">
        <v>0</v>
      </c>
      <c r="W30" s="671">
        <v>0</v>
      </c>
      <c r="X30" s="671">
        <v>1200</v>
      </c>
      <c r="Y30" s="671" t="s">
        <v>826</v>
      </c>
      <c r="Z30" s="673" t="s">
        <v>156</v>
      </c>
    </row>
    <row r="31" spans="1:26" s="625" customFormat="1" ht="25.5">
      <c r="A31" s="624"/>
      <c r="B31" s="851">
        <v>72004</v>
      </c>
      <c r="C31" s="851">
        <v>3960</v>
      </c>
      <c r="D31" s="672" t="s">
        <v>827</v>
      </c>
      <c r="E31" s="671" t="s">
        <v>828</v>
      </c>
      <c r="F31" s="671" t="s">
        <v>829</v>
      </c>
      <c r="G31" s="671" t="s">
        <v>812</v>
      </c>
      <c r="H31" s="671" t="s">
        <v>813</v>
      </c>
      <c r="I31" s="671" t="s">
        <v>828</v>
      </c>
      <c r="J31" s="850">
        <v>41862</v>
      </c>
      <c r="K31" s="850">
        <v>41887</v>
      </c>
      <c r="L31" s="671" t="s">
        <v>814</v>
      </c>
      <c r="M31" s="671">
        <v>9.6999999999999993</v>
      </c>
      <c r="N31" s="671">
        <v>43.649999999999991</v>
      </c>
      <c r="O31" s="671">
        <v>62.357142857142847</v>
      </c>
      <c r="P31" s="671">
        <v>0</v>
      </c>
      <c r="Q31" s="671">
        <v>124.71428571428569</v>
      </c>
      <c r="R31" s="671">
        <v>0</v>
      </c>
      <c r="S31" s="671">
        <v>0</v>
      </c>
      <c r="T31" s="671">
        <v>0</v>
      </c>
      <c r="U31" s="671">
        <v>0</v>
      </c>
      <c r="V31" s="671">
        <v>0</v>
      </c>
      <c r="W31" s="671">
        <v>0</v>
      </c>
      <c r="X31" s="671">
        <v>10</v>
      </c>
      <c r="Y31" s="671" t="s">
        <v>112</v>
      </c>
      <c r="Z31" s="673" t="s">
        <v>112</v>
      </c>
    </row>
    <row r="32" spans="1:26" s="625" customFormat="1" ht="25.5">
      <c r="A32" s="624"/>
      <c r="B32" s="851">
        <v>72004</v>
      </c>
      <c r="C32" s="851">
        <v>3960</v>
      </c>
      <c r="D32" s="672"/>
      <c r="E32" s="671"/>
      <c r="F32" s="671" t="s">
        <v>830</v>
      </c>
      <c r="G32" s="671" t="s">
        <v>812</v>
      </c>
      <c r="H32" s="671" t="s">
        <v>813</v>
      </c>
      <c r="I32" s="671" t="s">
        <v>820</v>
      </c>
      <c r="J32" s="850">
        <v>42346</v>
      </c>
      <c r="K32" s="850">
        <v>42346</v>
      </c>
      <c r="L32" s="671" t="s">
        <v>814</v>
      </c>
      <c r="M32" s="671">
        <v>1189</v>
      </c>
      <c r="N32" s="671">
        <v>0</v>
      </c>
      <c r="O32" s="671">
        <v>0</v>
      </c>
      <c r="P32" s="671">
        <v>0</v>
      </c>
      <c r="Q32" s="671">
        <v>0</v>
      </c>
      <c r="R32" s="671">
        <v>0</v>
      </c>
      <c r="S32" s="671">
        <v>0</v>
      </c>
      <c r="T32" s="671">
        <v>0</v>
      </c>
      <c r="U32" s="671">
        <v>0</v>
      </c>
      <c r="V32" s="671">
        <v>0</v>
      </c>
      <c r="W32" s="671">
        <v>0</v>
      </c>
      <c r="X32" s="671">
        <v>10</v>
      </c>
      <c r="Y32" s="671" t="s">
        <v>112</v>
      </c>
      <c r="Z32" s="673" t="s">
        <v>112</v>
      </c>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3622.7999999999997</v>
      </c>
      <c r="N57" s="629">
        <f>SUM(N27:N56)</f>
        <v>10952.1</v>
      </c>
      <c r="O57" s="629">
        <f t="shared" ref="O57:W57" si="2">SUM(O27:O56)</f>
        <v>15645.857142857143</v>
      </c>
      <c r="P57" s="629">
        <f t="shared" si="2"/>
        <v>192.85714285714286</v>
      </c>
      <c r="Q57" s="629">
        <f t="shared" si="2"/>
        <v>31098.857142857149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15</v>
      </c>
      <c r="N59" s="629">
        <f ca="1">SUMIF($Z$27:AB56,"tertiair",N27:N56)</f>
        <v>67.5</v>
      </c>
      <c r="O59" s="629">
        <f ca="1">SUMIF($Z$27:AC56,"tertiair",O27:O56)</f>
        <v>96.428571428571431</v>
      </c>
      <c r="P59" s="629">
        <f ca="1">SUMIF($Z$27:AD56,"tertiair",P27:P56)</f>
        <v>192.85714285714286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3607.7999999999997</v>
      </c>
      <c r="N60" s="634">
        <f t="shared" ref="N60:W60" si="4">SUMIF($Z$27:$Z$56,"landbouw",N27:N56)</f>
        <v>10884.6</v>
      </c>
      <c r="O60" s="634">
        <f t="shared" si="4"/>
        <v>15549.428571428572</v>
      </c>
      <c r="P60" s="634">
        <f t="shared" si="4"/>
        <v>0</v>
      </c>
      <c r="Q60" s="634">
        <f t="shared" si="4"/>
        <v>31098.857142857149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79.411764705882348</v>
      </c>
      <c r="C100" s="663">
        <f t="shared" si="9"/>
        <v>12805.411764705885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113.44537815126051</v>
      </c>
      <c r="C101" s="666">
        <f t="shared" ref="C101:H101" si="10">$B$97*Q57</f>
        <v>18293.445378151264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2018-09-06T12:49:16Z</dcterms:modified>
</cp:coreProperties>
</file>