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<sst xmlns="http://schemas.openxmlformats.org/spreadsheetml/2006/main" count="1914" uniqueCount="809">
  <si>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</si>
  <si>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</si>
  <si>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</si>
  <si>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</si>
  <si>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</si>
  <si>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</si>
  <si>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</si>
  <si>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</si>
  <si>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</si>
  <si>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</si>
  <si>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</si>
  <si>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</si>
  <si>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</si>
  <si>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</si>
  <si>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</si>
  <si>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</si>
  <si>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</si>
  <si>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</si>
  <si>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</si>
  <si>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</si>
  <si>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</si>
  <si>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</si>
  <si>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</si>
  <si>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</si>
  <si>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</si>
  <si>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</si>
  <si>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</si>
  <si>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</si>
  <si>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</si>
  <si>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</si>
  <si>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</si>
  <si>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</si>
  <si>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</si>
  <si>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</si>
  <si>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</si>
  <si>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</si>
  <si>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</si>
  <si>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</si>
  <si>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</si>
  <si>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</si>
  <si>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</si>
  <si>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</si>
  <si>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</si>
  <si>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</si>
  <si>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</si>
  <si>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</si>
  <si>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</si>
  <si>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</si>
  <si>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</si>
  <si>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</si>
  <si>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</si>
  <si>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</si>
  <si>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</si>
  <si>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</si>
  <si>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</si>
  <si>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</si>
  <si>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</si>
  <si>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</si>
  <si>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</si>
  <si>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</si>
  <si>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</si>
  <si>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</si>
  <si>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</si>
  <si>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</si>
  <si>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</si>
  <si>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</si>
  <si>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</si>
  <si>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</si>
  <si>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</si>
  <si>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</si>
  <si>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</si>
  <si>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</si>
  <si>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</si>
  <si>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</si>
  <si>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</si>
  <si>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</si>
  <si>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</si>
  <si>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</si>
  <si>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</si>
  <si>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</si>
  <si>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</si>
  <si>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</si>
  <si>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</si>
  <si>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</si>
  <si>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</si>
  <si>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</si>
  <si>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</si>
  <si>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</si>
  <si>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</si>
  <si>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</si>
  <si>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</si>
  <si>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</si>
  <si>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</si>
  <si>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</si>
  <si>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</si>
  <si>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</si>
  <si>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</si>
  <si>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</si>
  <si>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</si>
  <si>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</si>
  <si>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</si>
  <si>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</si>
  <si>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</si>
  <si>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</si>
  <si>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</si>
  <si>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</si>
  <si>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</si>
  <si>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</si>
  <si>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</si>
  <si>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</si>
  <si>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</si>
  <si>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</si>
  <si>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</si>
  <si>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</si>
  <si>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</si>
  <si>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</si>
  <si>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</si>
  <si>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</si>
  <si>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</si>
  <si>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</si>
  <si>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</si>
  <si>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</si>
  <si>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</si>
  <si>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</si>
  <si>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</si>
  <si>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</si>
  <si>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</si>
  <si>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</si>
  <si>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</si>
  <si>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</si>
  <si>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</si>
  <si>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</si>
  <si>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</si>
  <si>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</si>
  <si>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</si>
  <si>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</si>
  <si>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</si>
  <si>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</si>
  <si>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</si>
  <si>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</si>
  <si>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</si>
  <si>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</si>
  <si>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</si>
  <si>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</si>
  <si>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</si>
  <si>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</si>
  <si>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</si>
  <si>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</si>
  <si>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</si>
  <si>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</si>
  <si>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</si>
  <si>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</si>
  <si>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</si>
  <si>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</si>
  <si>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</si>
  <si>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</si>
  <si>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</si>
  <si>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</si>
  <si>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</si>
  <si>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</si>
  <si>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</si>
  <si>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</si>
  <si>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</si>
  <si>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</si>
  <si>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</si>
  <si>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</si>
  <si>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</si>
  <si>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</si>
  <si>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</si>
  <si>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</si>
  <si>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</si>
  <si>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</si>
  <si>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</si>
  <si>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</si>
  <si>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</si>
  <si>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</si>
  <si>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</si>
  <si>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</si>
  <si>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</si>
  <si>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</si>
  <si>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</si>
  <si>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</si>
  <si>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</si>
  <si>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</si>
  <si>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</si>
  <si>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</si>
  <si>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</si>
  <si>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</si>
  <si>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</si>
  <si>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</si>
  <si>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</si>
  <si>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</si>
  <si>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</si>
  <si>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</si>
  <si>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</si>
  <si>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</si>
  <si>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</si>
  <si>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</si>
  <si>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</si>
  <si>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</si>
  <si>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</si>
  <si>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</si>
  <si>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</si>
  <si>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</si>
  <si>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</si>
  <si>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</si>
  <si>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</si>
  <si>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</si>
  <si>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</si>
  <si>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</si>
  <si>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</si>
  <si>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</si>
  <si>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</si>
  <si>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</si>
  <si>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</si>
  <si>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</si>
  <si>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</si>
  <si>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</si>
  <si>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</si>
  <si>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</si>
  <si>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</si>
  <si>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</si>
  <si>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</si>
  <si>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</si>
  <si>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</si>
  <si>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</si>
  <si>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</si>
  <si>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</si>
  <si>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</si>
  <si>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</si>
  <si>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</si>
  <si>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</si>
  <si>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</si>
  <si>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</si>
  <si>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</si>
  <si>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</si>
  <si>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</si>
  <si>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</si>
  <si>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</si>
  <si>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</si>
  <si>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</si>
  <si>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</si>
  <si>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</si>
  <si>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</si>
  <si>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</si>
  <si>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</si>
  <si>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</si>
  <si>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</si>
  <si>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</si>
  <si>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</si>
  <si>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</si>
  <si>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</si>
  <si>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</si>
  <si>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</si>
  <si>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</si>
  <si>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</si>
  <si>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</si>
  <si>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</si>
  <si>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</si>
  <si>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</si>
  <si>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</si>
  <si>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</si>
  <si>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</si>
  <si>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</si>
  <si>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</si>
  <si>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</si>
  <si>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</si>
  <si>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</si>
  <si>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</si>
  <si>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</si>
  <si>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</si>
  <si>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</si>
  <si>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</si>
  <si>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</si>
  <si>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</si>
  <si>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</si>
  <si>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</si>
  <si>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</si>
  <si>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</si>
  <si>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</si>
  <si>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</si>
  <si>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</si>
  <si>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</si>
  <si>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</si>
  <si>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</si>
  <si>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</si>
  <si>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</si>
  <si>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</si>
  <si>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</si>
  <si>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</si>
  <si>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</si>
  <si>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</si>
  <si>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</si>
  <si>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</si>
  <si>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</si>
  <si>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</si>
  <si>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</si>
  <si>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</si>
  <si>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</si>
  <si>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</si>
  <si>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</si>
  <si>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</si>
  <si>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</si>
  <si>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</si>
  <si>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</si>
  <si>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</si>
  <si>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</si>
  <si>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</si>
  <si>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</si>
  <si>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</si>
  <si>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</si>
  <si>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</si>
  <si>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</si>
  <si>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</si>
  <si>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</si>
  <si>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</si>
  <si>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</si>
  <si>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</si>
  <si>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</si>
  <si>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</si>
  <si>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</si>
  <si>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</si>
  <si>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</si>
  <si>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</si>
  <si>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</si>
  <si>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</si>
  <si>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</si>
  <si>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</si>
  <si>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</si>
  <si>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</si>
  <si>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</si>
  <si>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</si>
  <si>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</si>
  <si>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</si>
  <si>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</si>
  <si>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</si>
  <si>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</si>
  <si>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</si>
  <si>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</si>
  <si>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</si>
  <si>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</si>
  <si>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</si>
  <si>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</si>
  <si>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</si>
  <si>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</si>
  <si>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</si>
  <si>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</si>
  <si>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</si>
  <si>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</si>
  <si>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</si>
  <si>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</si>
  <si>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</si>
  <si>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</si>
  <si>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</si>
  <si>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</si>
  <si>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</si>
  <si>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</si>
  <si>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</si>
  <si>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</si>
  <si>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</si>
  <si>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</si>
  <si>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</si>
  <si>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</si>
  <si>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</si>
  <si>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</si>
  <si>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</si>
  <si>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</si>
  <si>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</si>
  <si>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</si>
  <si>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</si>
  <si>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</si>
  <si>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</si>
  <si>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</si>
  <si>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</si>
  <si>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</si>
  <si>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</si>
  <si>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</si>
  <si>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</si>
  <si>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</si>
  <si>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</si>
  <si>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</si>
  <si>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</si>
  <si>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</si>
  <si>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</si>
  <si>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</si>
  <si>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</si>
  <si>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</si>
  <si>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</si>
  <si>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</si>
  <si>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</si>
  <si>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</si>
  <si>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</si>
  <si>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</si>
  <si>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</si>
  <si>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</si>
  <si>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</si>
  <si>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</si>
  <si>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</si>
  <si>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</si>
  <si>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</si>
  <si>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</si>
  <si>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</si>
  <si>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</si>
  <si>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</si>
  <si>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</si>
  <si>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</si>
  <si>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</si>
  <si>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</si>
  <si>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</si>
  <si>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</si>
  <si>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</si>
  <si>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</si>
  <si>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</si>
  <si>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</si>
  <si>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</si>
  <si>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</si>
  <si>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</si>
  <si>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</si>
  <si>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</si>
  <si>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</si>
  <si>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</si>
  <si>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</si>
  <si>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</si>
  <si>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</si>
  <si>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</si>
  <si>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</si>
  <si>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</si>
  <si>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</si>
  <si>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</si>
  <si>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</si>
  <si>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</si>
  <si>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</si>
  <si>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</si>
  <si>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</si>
  <si>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</si>
  <si>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</si>
  <si>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</si>
  <si>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</si>
  <si>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</si>
  <si>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</si>
  <si>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</si>
  <si>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</si>
  <si>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</si>
  <si>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</si>
  <si>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</si>
  <si>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</si>
  <si>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</si>
  <si>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</si>
  <si>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</si>
  <si>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</si>
  <si>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</si>
  <si>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</si>
  <si>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</si>
  <si>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</si>
  <si>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</si>
  <si>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</si>
  <si>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</si>
  <si>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</si>
  <si>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</si>
  <si>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</si>
  <si>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</si>
  <si>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</si>
  <si>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</si>
  <si>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</si>
  <si>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</si>
  <si>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</si>
  <si>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</si>
  <si>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</si>
  <si>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</si>
  <si>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</si>
  <si>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</si>
  <si>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</si>
  <si>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</si>
  <si>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</si>
  <si>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</si>
  <si>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</si>
  <si>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</si>
  <si>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</si>
  <si>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</si>
  <si>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</si>
  <si>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</si>
  <si>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</si>
  <si>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</si>
  <si>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</si>
  <si>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</si>
  <si>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</si>
  <si>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</si>
  <si>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</si>
  <si>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</si>
  <si>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</si>
  <si>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</si>
  <si>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</si>
  <si>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</si>
  <si>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</si>
  <si>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</si>
  <si>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</si>
  <si>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</si>
  <si>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</si>
  <si>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</si>
  <si>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</si>
  <si>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</si>
  <si>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</si>
  <si>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</si>
  <si>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</si>
  <si>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</si>
  <si>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</si>
  <si>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</si>
  <si>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</si>
  <si>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</si>
  <si>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</si>
  <si>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</si>
  <si>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</si>
  <si>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</si>
  <si>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</si>
  <si>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</si>
  <si>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</si>
  <si>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</si>
  <si>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</si>
  <si>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</si>
  <si>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</si>
  <si>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</si>
  <si>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</si>
  <si>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</si>
  <si>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</si>
  <si>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</si>
  <si>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</si>
  <si>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</si>
  <si>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</si>
  <si>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</si>
  <si>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</si>
  <si>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</si>
  <si>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</si>
  <si>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</si>
  <si>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</si>
  <si>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</si>
  <si>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</si>
  <si>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</si>
  <si>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</si>
  <si>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</si>
  <si>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</si>
  <si>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</si>
  <si>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</si>
  <si>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</si>
  <si>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</si>
  <si>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</si>
  <si>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</si>
  <si>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</si>
  <si>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</si>
  <si>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</si>
  <si>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</si>
  <si>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</si>
  <si>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</si>
  <si>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</si>
  <si>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</si>
  <si>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</si>
  <si>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</si>
  <si>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</si>
  <si>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</si>
  <si>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</si>
  <si>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</si>
  <si>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</si>
  <si>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</si>
  <si>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</si>
  <si>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</si>
  <si>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</si>
  <si>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</si>
  <si>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</si>
  <si>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</si>
  <si>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</si>
  <si>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</si>
  <si>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</si>
  <si>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</si>
  <si>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</si>
  <si>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</si>
  <si>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</si>
  <si>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</si>
  <si>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</si>
  <si>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</si>
  <si>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</si>
  <si>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</si>
  <si>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</si>
  <si>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</si>
  <si>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</si>
  <si>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</si>
  <si>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</si>
  <si>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</si>
  <si>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</si>
  <si>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</si>
  <si>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</si>
  <si>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</si>
  <si>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</si>
  <si>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</si>
  <si>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</si>
  <si>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</si>
  <si>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</si>
  <si>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</si>
  <si>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</si>
  <si>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</si>
  <si>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</si>
  <si>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</si>
  <si>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</si>
  <si>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</si>
  <si>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</si>
  <si>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</si>
  <si>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</si>
  <si>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</si>
  <si>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</si>
  <si>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</si>
  <si>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</si>
  <si>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</si>
  <si>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</si>
  <si>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</si>
  <si>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</si>
  <si>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</si>
  <si>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</si>
  <si>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</si>
  <si>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</si>
  <si>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</si>
  <si>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</si>
  <si>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</si>
  <si>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</si>
  <si>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</si>
  <si>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</si>
  <si>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</si>
  <si>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</si>
  <si>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</si>
  <si>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</si>
  <si>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</si>
  <si>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</si>
  <si>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</si>
  <si>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</si>
  <si>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</si>
  <si>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</si>
  <si>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</si>
  <si>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</si>
  <si>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</si>
  <si>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</si>
  <si>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</si>
  <si>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</si>
  <si>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</si>
  <si>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</si>
  <si>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</si>
  <si>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</si>
  <si>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</si>
  <si>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</si>
  <si>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</si>
  <si>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</si>
  <si>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</si>
  <si>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</si>
  <si>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</si>
  <si>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</si>
  <si>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</si>
  <si>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</si>
  <si>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</si>
  <si>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</si>
  <si>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</si>
  <si>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</si>
  <si>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</si>
  <si>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</si>
  <si>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</si>
  <si>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</si>
  <si>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</si>
  <si>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</si>
  <si>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</si>
  <si>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</si>
  <si>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</si>
  <si>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</si>
  <si>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</si>
  <si>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</si>
  <si>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</si>
  <si>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</si>
  <si>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</si>
  <si>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</si>
  <si>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</si>
  <si>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</si>
  <si>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</si>
  <si>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</si>
  <si>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</si>
  <si>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</si>
  <si>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</si>
  <si>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</si>
  <si>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</si>
  <si>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</si>
  <si>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</si>
  <si>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</si>
  <si>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</si>
  <si>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</si>
  <si>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</si>
  <si>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</si>
  <si>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</si>
  <si>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</si>
  <si>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</si>
  <si>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</si>
  <si>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</si>
  <si>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</si>
  <si>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</si>
  <si>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</si>
  <si>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</si>
  <si>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</si>
  <si>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</si>
  <si>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</si>
  <si>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</si>
  <si>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</si>
  <si>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</si>
  <si>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</si>
  <si>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</si>
  <si>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</si>
  <si>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</si>
  <si>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</si>
  <si>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</si>
  <si>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</si>
  <si>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</si>
  <si>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</si>
  <si>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</si>
  <si>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</si>
  <si>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</si>
  <si>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</si>
  <si>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</si>
  <si>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</si>
  <si>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</si>
  <si>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</si>
  <si>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</si>
  <si>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</si>
  <si>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</si>
  <si>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</si>
  <si>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</si>
  <si>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</si>
  <si>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</si>
  <si>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</si>
  <si>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</si>
  <si>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</si>
  <si>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</si>
  <si>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</si>
  <si>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</si>
  <si>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</si>
  <si>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</si>
  <si>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</si>
  <si>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</si>
  <si>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</si>
  <si>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</si>
  <si>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</si>
  <si>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</si>
  <si>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</si>
  <si>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</si>
  <si>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</si>
  <si>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</si>
  <si>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</si>
  <si>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</si>
  <si>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</si>
  <si>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</si>
  <si>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</si>
  <si>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</si>
  <si>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</si>
  <si>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</si>
  <si>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</si>
  <si>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</si>
  <si>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</si>
  <si>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</si>
  <si>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</si>
  <si>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</si>
  <si>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</si>
  <si>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</si>
  <si>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</si>
  <si>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</si>
  <si>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</si>
  <si>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</si>
  <si>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</si>
  <si>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</si>
  <si>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</si>
  <si>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</si>
  <si>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</si>
  <si>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</si>
  <si>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</si>
  <si>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</si>
  <si>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</si>
  <si>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</si>
  <si>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</si>
  <si>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</si>
  <si>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</si>
  <si>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</si>
  <si>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</si>
  <si>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</si>
  <si>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</si>
  <si>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</si>
  <si>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</si>
  <si>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</si>
  <si>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</si>
  <si>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</si>
  <si>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</si>
  <si>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</si>
  <si>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</si>
  <si>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</si>
  <si>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</si>
  <si>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</si>
  <si>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</si>
  <si>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</si>
  <si>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</si>
  <si>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</si>
  <si>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</si>
  <si>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</si>
  <si>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</si>
  <si>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71070</t>
  </si>
  <si>
    <t>HEUSDEN-ZOLDER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</si>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</sst>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259872.51502743439</c:v>
                </c:pt>
                <c:pt idx="1">
                  <c:v>106151.93838240599</c:v>
                </c:pt>
                <c:pt idx="2">
                  <c:v>1931.579</c:v>
                </c:pt>
                <c:pt idx="3">
                  <c:v>1252.7829940345757</c:v>
                </c:pt>
                <c:pt idx="4">
                  <c:v>59039.654294623739</c:v>
                </c:pt>
                <c:pt idx="5">
                  <c:v>307816.97812503815</c:v>
                </c:pt>
                <c:pt idx="6">
                  <c:v>3310.2471620530287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1984"/>
        <c:axId val="156443776"/>
      </c:barChart>
      <c:catAx>
        <c:axId val="156441984"/>
        <c:scaling>
          <c:orientation val="minMax"/>
        </c:scaling>
        <c:axPos val="b"/>
        <c:numFmt formatCode="General" sourceLinked="0"/>
        <c:tickLblPos val="nextTo"/>
        <c:crossAx val="156443776"/>
        <c:crosses val="autoZero"/>
        <c:auto val="1"/>
        <c:lblAlgn val="ctr"/>
        <c:lblOffset val="100"/>
      </c:catAx>
      <c:valAx>
        <c:axId val="156443776"/>
        <c:scaling>
          <c:orientation val="minMax"/>
        </c:scaling>
        <c:axPos val="l"/>
        <c:majorGridlines/>
        <c:numFmt formatCode="#,##0" sourceLinked="1"/>
        <c:tickLblPos val="nextTo"/>
        <c:crossAx val="1564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259872.51502743439</c:v>
                </c:pt>
                <c:pt idx="1">
                  <c:v>106151.93838240599</c:v>
                </c:pt>
                <c:pt idx="2">
                  <c:v>1931.579</c:v>
                </c:pt>
                <c:pt idx="3">
                  <c:v>1252.7829940345757</c:v>
                </c:pt>
                <c:pt idx="4">
                  <c:v>59039.654294623739</c:v>
                </c:pt>
                <c:pt idx="5">
                  <c:v>307816.97812503815</c:v>
                </c:pt>
                <c:pt idx="6">
                  <c:v>3310.2471620530287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50764.2409761667</c:v>
                </c:pt>
                <c:pt idx="1">
                  <c:v>19119.541159781624</c:v>
                </c:pt>
                <c:pt idx="2">
                  <c:v>332.94960095321204</c:v>
                </c:pt>
                <c:pt idx="3">
                  <c:v>314.9749401387312</c:v>
                </c:pt>
                <c:pt idx="4">
                  <c:v>11407.057925891277</c:v>
                </c:pt>
                <c:pt idx="5">
                  <c:v>77066.912422678579</c:v>
                </c:pt>
                <c:pt idx="6">
                  <c:v>836.33581031082178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0064"/>
        <c:axId val="156934144"/>
      </c:barChart>
      <c:catAx>
        <c:axId val="156920064"/>
        <c:scaling>
          <c:orientation val="minMax"/>
        </c:scaling>
        <c:axPos val="b"/>
        <c:numFmt formatCode="General" sourceLinked="0"/>
        <c:tickLblPos val="nextTo"/>
        <c:crossAx val="156934144"/>
        <c:crosses val="autoZero"/>
        <c:auto val="1"/>
        <c:lblAlgn val="ctr"/>
        <c:lblOffset val="100"/>
      </c:catAx>
      <c:valAx>
        <c:axId val="156934144"/>
        <c:scaling>
          <c:orientation val="minMax"/>
        </c:scaling>
        <c:axPos val="l"/>
        <c:majorGridlines/>
        <c:numFmt formatCode="#,##0" sourceLinked="1"/>
        <c:tickLblPos val="nextTo"/>
        <c:crossAx val="1569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50764.2409761667</c:v>
                </c:pt>
                <c:pt idx="1">
                  <c:v>19119.541159781624</c:v>
                </c:pt>
                <c:pt idx="2">
                  <c:v>332.94960095321204</c:v>
                </c:pt>
                <c:pt idx="3">
                  <c:v>314.9749401387312</c:v>
                </c:pt>
                <c:pt idx="4">
                  <c:v>11407.057925891277</c:v>
                </c:pt>
                <c:pt idx="5">
                  <c:v>77066.912422678579</c:v>
                </c:pt>
                <c:pt idx="6">
                  <c:v>836.33581031082178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12727</v>
      </c>
      <c r="C9" s="342">
        <v>12841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858.7</v>
      </c>
    </row>
    <row r="15" spans="1:6">
      <c r="A15" s="348" t="s">
        <v>184</v>
      </c>
      <c r="B15" s="334">
        <v>1</v>
      </c>
    </row>
    <row r="16" spans="1:6">
      <c r="A16" s="348" t="s">
        <v>6</v>
      </c>
      <c r="B16" s="334">
        <v>42</v>
      </c>
    </row>
    <row r="17" spans="1:6">
      <c r="A17" s="348" t="s">
        <v>7</v>
      </c>
      <c r="B17" s="334">
        <v>64</v>
      </c>
    </row>
    <row r="18" spans="1:6">
      <c r="A18" s="348" t="s">
        <v>8</v>
      </c>
      <c r="B18" s="334">
        <v>73</v>
      </c>
    </row>
    <row r="19" spans="1:6">
      <c r="A19" s="348" t="s">
        <v>9</v>
      </c>
      <c r="B19" s="334">
        <v>91</v>
      </c>
    </row>
    <row r="20" spans="1:6">
      <c r="A20" s="348" t="s">
        <v>10</v>
      </c>
      <c r="B20" s="334">
        <v>140</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25</v>
      </c>
    </row>
    <row r="27" spans="1:6">
      <c r="A27" s="348" t="s">
        <v>17</v>
      </c>
      <c r="B27" s="334">
        <v>3</v>
      </c>
    </row>
    <row r="28" spans="1:6" s="356" customFormat="1">
      <c r="A28" s="355" t="s">
        <v>18</v>
      </c>
      <c r="B28" s="355">
        <v>7594</v>
      </c>
    </row>
    <row r="29" spans="1:6">
      <c r="A29" s="355" t="s">
        <v>744</v>
      </c>
      <c r="B29" s="355">
        <v>179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13448279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6966</v>
      </c>
      <c r="D39" s="334">
        <v>101832791.25</v>
      </c>
      <c r="E39" s="334">
        <v>12661</v>
      </c>
      <c r="F39" s="334">
        <v>40985898.849999994</v>
      </c>
    </row>
    <row r="40" spans="1:6">
      <c r="A40" s="348" t="s">
        <v>30</v>
      </c>
      <c r="B40" s="348" t="s">
        <v>29</v>
      </c>
      <c r="C40" s="334">
        <v>0</v>
      </c>
      <c r="D40" s="334">
        <v>0</v>
      </c>
      <c r="E40" s="334">
        <v>0</v>
      </c>
      <c r="F40" s="334">
        <v>0</v>
      </c>
    </row>
    <row r="41" spans="1:6">
      <c r="A41" s="348" t="s">
        <v>32</v>
      </c>
      <c r="B41" s="348" t="s">
        <v>33</v>
      </c>
      <c r="C41" s="334">
        <v>94</v>
      </c>
      <c r="D41" s="334">
        <v>26192436.200000003</v>
      </c>
      <c r="E41" s="334">
        <v>219</v>
      </c>
      <c r="F41" s="334">
        <v>7403300.8000000007</v>
      </c>
    </row>
    <row r="42" spans="1:6">
      <c r="A42" s="348" t="s">
        <v>32</v>
      </c>
      <c r="B42" s="348" t="s">
        <v>34</v>
      </c>
      <c r="C42" s="334">
        <v>3</v>
      </c>
      <c r="D42" s="334">
        <v>1394191</v>
      </c>
      <c r="E42" s="334">
        <v>3</v>
      </c>
      <c r="F42" s="334">
        <v>133570</v>
      </c>
    </row>
    <row r="43" spans="1:6">
      <c r="A43" s="348" t="s">
        <v>32</v>
      </c>
      <c r="B43" s="348" t="s">
        <v>35</v>
      </c>
      <c r="C43" s="334">
        <v>0</v>
      </c>
      <c r="D43" s="334">
        <v>0</v>
      </c>
      <c r="E43" s="334">
        <v>0</v>
      </c>
      <c r="F43" s="334">
        <v>0</v>
      </c>
    </row>
    <row r="44" spans="1:6">
      <c r="A44" s="348" t="s">
        <v>32</v>
      </c>
      <c r="B44" s="348" t="s">
        <v>36</v>
      </c>
      <c r="C44" s="334">
        <v>12</v>
      </c>
      <c r="D44" s="334">
        <v>8816307</v>
      </c>
      <c r="E44" s="334">
        <v>30</v>
      </c>
      <c r="F44" s="334">
        <v>2093441</v>
      </c>
    </row>
    <row r="45" spans="1:6">
      <c r="A45" s="348" t="s">
        <v>32</v>
      </c>
      <c r="B45" s="348" t="s">
        <v>37</v>
      </c>
      <c r="C45" s="334">
        <v>0</v>
      </c>
      <c r="D45" s="334">
        <v>0</v>
      </c>
      <c r="E45" s="334">
        <v>8</v>
      </c>
      <c r="F45" s="334">
        <v>2853642</v>
      </c>
    </row>
    <row r="46" spans="1:6">
      <c r="A46" s="348" t="s">
        <v>32</v>
      </c>
      <c r="B46" s="348" t="s">
        <v>38</v>
      </c>
      <c r="C46" s="334">
        <v>3</v>
      </c>
      <c r="D46" s="334">
        <v>24947706</v>
      </c>
      <c r="E46" s="334">
        <v>0</v>
      </c>
      <c r="F46" s="334">
        <v>0</v>
      </c>
    </row>
    <row r="47" spans="1:6">
      <c r="A47" s="348" t="s">
        <v>32</v>
      </c>
      <c r="B47" s="348" t="s">
        <v>39</v>
      </c>
      <c r="C47" s="334">
        <v>0</v>
      </c>
      <c r="D47" s="334">
        <v>0</v>
      </c>
      <c r="E47" s="334">
        <v>5</v>
      </c>
      <c r="F47" s="334">
        <v>28620</v>
      </c>
    </row>
    <row r="48" spans="1:6">
      <c r="A48" s="348" t="s">
        <v>32</v>
      </c>
      <c r="B48" s="348" t="s">
        <v>29</v>
      </c>
      <c r="C48" s="334">
        <v>0</v>
      </c>
      <c r="D48" s="334">
        <v>0</v>
      </c>
      <c r="E48" s="334">
        <v>0</v>
      </c>
      <c r="F48" s="334">
        <v>0</v>
      </c>
    </row>
    <row r="49" spans="1:6">
      <c r="A49" s="348" t="s">
        <v>32</v>
      </c>
      <c r="B49" s="348" t="s">
        <v>40</v>
      </c>
      <c r="C49" s="334">
        <v>0</v>
      </c>
      <c r="D49" s="334">
        <v>0</v>
      </c>
      <c r="E49" s="334">
        <v>3</v>
      </c>
      <c r="F49" s="334">
        <v>24334</v>
      </c>
    </row>
    <row r="50" spans="1:6">
      <c r="A50" s="348" t="s">
        <v>32</v>
      </c>
      <c r="B50" s="348" t="s">
        <v>41</v>
      </c>
      <c r="C50" s="334">
        <v>7</v>
      </c>
      <c r="D50" s="334">
        <v>415046</v>
      </c>
      <c r="E50" s="334">
        <v>12</v>
      </c>
      <c r="F50" s="334">
        <v>618957</v>
      </c>
    </row>
    <row r="51" spans="1:6">
      <c r="A51" s="348" t="s">
        <v>42</v>
      </c>
      <c r="B51" s="348" t="s">
        <v>43</v>
      </c>
      <c r="C51" s="334">
        <v>0</v>
      </c>
      <c r="D51" s="334">
        <v>0</v>
      </c>
      <c r="E51" s="334">
        <v>14</v>
      </c>
      <c r="F51" s="334">
        <v>234594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1931579</v>
      </c>
    </row>
    <row r="55" spans="1:6">
      <c r="A55" s="348" t="s">
        <v>46</v>
      </c>
      <c r="B55" s="348" t="s">
        <v>29</v>
      </c>
      <c r="C55" s="334">
        <v>0</v>
      </c>
      <c r="D55" s="334">
        <v>0</v>
      </c>
      <c r="E55" s="334">
        <v>0</v>
      </c>
      <c r="F55" s="334">
        <v>0</v>
      </c>
    </row>
    <row r="56" spans="1:6">
      <c r="A56" s="348" t="s">
        <v>48</v>
      </c>
      <c r="B56" s="348" t="s">
        <v>29</v>
      </c>
      <c r="C56" s="334">
        <v>9</v>
      </c>
      <c r="D56" s="334">
        <v>537854</v>
      </c>
      <c r="E56" s="334">
        <v>10</v>
      </c>
      <c r="F56" s="334">
        <v>14934175</v>
      </c>
    </row>
    <row r="57" spans="1:6">
      <c r="A57" s="348" t="s">
        <v>49</v>
      </c>
      <c r="B57" s="348" t="s">
        <v>50</v>
      </c>
      <c r="C57" s="334">
        <v>99</v>
      </c>
      <c r="D57" s="334">
        <v>13053476.699999999</v>
      </c>
      <c r="E57" s="334">
        <v>154</v>
      </c>
      <c r="F57" s="334">
        <v>8470170.4499999993</v>
      </c>
    </row>
    <row r="58" spans="1:6">
      <c r="A58" s="348" t="s">
        <v>49</v>
      </c>
      <c r="B58" s="348" t="s">
        <v>51</v>
      </c>
      <c r="C58" s="334">
        <v>49</v>
      </c>
      <c r="D58" s="334">
        <v>6112867</v>
      </c>
      <c r="E58" s="334">
        <v>68</v>
      </c>
      <c r="F58" s="334">
        <v>7331662</v>
      </c>
    </row>
    <row r="59" spans="1:6">
      <c r="A59" s="348" t="s">
        <v>49</v>
      </c>
      <c r="B59" s="348" t="s">
        <v>52</v>
      </c>
      <c r="C59" s="334">
        <v>177</v>
      </c>
      <c r="D59" s="334">
        <v>13896013</v>
      </c>
      <c r="E59" s="334">
        <v>357</v>
      </c>
      <c r="F59" s="334">
        <v>16898319</v>
      </c>
    </row>
    <row r="60" spans="1:6">
      <c r="A60" s="348" t="s">
        <v>49</v>
      </c>
      <c r="B60" s="348" t="s">
        <v>53</v>
      </c>
      <c r="C60" s="334">
        <v>92</v>
      </c>
      <c r="D60" s="334">
        <v>4173825.6</v>
      </c>
      <c r="E60" s="334">
        <v>133</v>
      </c>
      <c r="F60" s="334">
        <v>3421123.8499999996</v>
      </c>
    </row>
    <row r="61" spans="1:6">
      <c r="A61" s="348" t="s">
        <v>49</v>
      </c>
      <c r="B61" s="348" t="s">
        <v>54</v>
      </c>
      <c r="C61" s="334">
        <v>156</v>
      </c>
      <c r="D61" s="334">
        <v>7837143.5</v>
      </c>
      <c r="E61" s="334">
        <v>478</v>
      </c>
      <c r="F61" s="334">
        <v>9286028.75</v>
      </c>
    </row>
    <row r="62" spans="1:6">
      <c r="A62" s="348" t="s">
        <v>49</v>
      </c>
      <c r="B62" s="348" t="s">
        <v>55</v>
      </c>
      <c r="C62" s="334">
        <v>18</v>
      </c>
      <c r="D62" s="334">
        <v>2607235</v>
      </c>
      <c r="E62" s="334">
        <v>24</v>
      </c>
      <c r="F62" s="334">
        <v>954693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3</v>
      </c>
      <c r="F67" s="334">
        <v>84976</v>
      </c>
    </row>
    <row r="68" spans="1:6">
      <c r="A68" s="341" t="s">
        <v>56</v>
      </c>
      <c r="B68" s="341" t="s">
        <v>60</v>
      </c>
      <c r="C68" s="334">
        <v>9</v>
      </c>
      <c r="D68" s="334">
        <v>309525</v>
      </c>
      <c r="E68" s="334">
        <v>15</v>
      </c>
      <c r="F68" s="334">
        <v>727807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84810538</v>
      </c>
      <c r="E73" s="476">
        <v>99438064.445308074</v>
      </c>
    </row>
    <row r="74" spans="1:6">
      <c r="A74" s="348" t="s">
        <v>64</v>
      </c>
      <c r="B74" s="348" t="s">
        <v>657</v>
      </c>
      <c r="C74" s="1213" t="s">
        <v>659</v>
      </c>
      <c r="D74" s="476">
        <v>2934134.8231496201</v>
      </c>
      <c r="E74" s="476">
        <v>3344904.1203942411</v>
      </c>
    </row>
    <row r="75" spans="1:6">
      <c r="A75" s="348" t="s">
        <v>65</v>
      </c>
      <c r="B75" s="348" t="s">
        <v>656</v>
      </c>
      <c r="C75" s="1213" t="s">
        <v>660</v>
      </c>
      <c r="D75" s="476">
        <v>57149724</v>
      </c>
      <c r="E75" s="476">
        <v>66469409.309763104</v>
      </c>
    </row>
    <row r="76" spans="1:6">
      <c r="A76" s="348" t="s">
        <v>65</v>
      </c>
      <c r="B76" s="348" t="s">
        <v>657</v>
      </c>
      <c r="C76" s="1213" t="s">
        <v>661</v>
      </c>
      <c r="D76" s="476">
        <v>738221.82314962009</v>
      </c>
      <c r="E76" s="476">
        <v>920377.421682899</v>
      </c>
    </row>
    <row r="77" spans="1:6">
      <c r="A77" s="348" t="s">
        <v>66</v>
      </c>
      <c r="B77" s="348" t="s">
        <v>656</v>
      </c>
      <c r="C77" s="1213" t="s">
        <v>662</v>
      </c>
      <c r="D77" s="476">
        <v>172047280</v>
      </c>
      <c r="E77" s="476">
        <v>180717925.55962238</v>
      </c>
    </row>
    <row r="78" spans="1:6">
      <c r="A78" s="341" t="s">
        <v>66</v>
      </c>
      <c r="B78" s="341" t="s">
        <v>657</v>
      </c>
      <c r="C78" s="341" t="s">
        <v>663</v>
      </c>
      <c r="D78" s="1214">
        <v>30563195</v>
      </c>
      <c r="E78" s="1214">
        <v>32481821.398927994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897794.35370075982</v>
      </c>
      <c r="C83" s="476">
        <v>918038.65183222876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9933.5310715086889</v>
      </c>
    </row>
    <row r="92" spans="1:6">
      <c r="A92" s="341" t="s">
        <v>69</v>
      </c>
      <c r="B92" s="342">
        <v>14870.629876655474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46</v>
      </c>
      <c r="C123" s="334">
        <v>129</v>
      </c>
    </row>
    <row r="124" spans="1:6">
      <c r="A124" s="341" t="s">
        <v>89</v>
      </c>
      <c r="B124" s="334">
        <v>7</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380</v>
      </c>
    </row>
    <row r="130" spans="1:6">
      <c r="A130" s="348" t="s">
        <v>295</v>
      </c>
      <c r="B130" s="334">
        <v>4</v>
      </c>
    </row>
    <row r="131" spans="1:6">
      <c r="A131" s="348" t="s">
        <v>296</v>
      </c>
      <c r="B131" s="334">
        <v>9</v>
      </c>
    </row>
    <row r="132" spans="1:6">
      <c r="A132" s="341" t="s">
        <v>297</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112726.99637898627</v>
      </c>
      <c r="C3" s="43" t="s">
        <v>170</v>
      </c>
      <c r="D3" s="43"/>
      <c r="E3" s="154"/>
      <c r="F3" s="43"/>
      <c r="G3" s="43"/>
      <c r="H3" s="43"/>
      <c r="I3" s="43"/>
      <c r="J3" s="43"/>
      <c r="K3" s="96"/>
    </row>
    <row r="4" spans="1:11">
      <c r="A4" s="383" t="s">
        <v>171</v>
      </c>
      <c r="B4" s="49">
        <f>IF(ISERROR('SEAP template'!B69),0,'SEAP template'!B69)</f>
        <v>24804.160948164164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0.17237172331714729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1931.579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0.17237172331714729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332.94960095321204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40985.89884999999</v>
      </c>
      <c r="C5" s="17">
        <f>IF(ISERROR('Eigen informatie GS &amp; warmtenet'!B57),0,'Eigen informatie GS &amp; warmtenet'!B57)</f>
        <v>0</v>
      </c>
      <c r="D5" s="30">
        <f>(SUM(HH_hh_gas_kWh,HH_rest_gas_kWh)/1000)*0.902</f>
        <v>91853.177707499999</v>
      </c>
      <c r="E5" s="17">
        <f>B46*B57</f>
        <v>6083.3707508153211</v>
      </c>
      <c r="F5" s="17">
        <f>B51*B62</f>
        <v>82591.400872357495</v>
      </c>
      <c r="G5" s="18"/>
      <c r="H5" s="17"/>
      <c r="I5" s="17"/>
      <c r="J5" s="17">
        <f>B50*B61+C50*C61</f>
        <v>0</v>
      </c>
      <c r="K5" s="17"/>
      <c r="L5" s="17"/>
      <c r="M5" s="17"/>
      <c r="N5" s="17">
        <f>B48*B59+C48*C59</f>
        <v>25425.789108586236</v>
      </c>
      <c r="O5" s="17">
        <f>B69*B70*B71</f>
        <v>806.68000000000018</v>
      </c>
      <c r="P5" s="17">
        <f>B77*B78*B79/1000-B77*B78*B79/1000/B80</f>
        <v>2192.6666666666665</v>
      </c>
    </row>
    <row r="6" spans="1:16">
      <c r="A6" s="16" t="s">
        <v>621</v>
      </c>
      <c r="B6" s="843">
        <f>kWh_PV_kleiner_dan_10kW</f>
        <v>9933.5310715086889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50919.429921508679</v>
      </c>
      <c r="C8" s="21">
        <f>C5</f>
        <v>0</v>
      </c>
      <c r="D8" s="21">
        <f>D5</f>
        <v>91853.177707499999</v>
      </c>
      <c r="E8" s="21">
        <f>E5</f>
        <v>6083.3707508153211</v>
      </c>
      <c r="F8" s="21">
        <f>F5</f>
        <v>82591.400872357495</v>
      </c>
      <c r="G8" s="21"/>
      <c r="H8" s="21"/>
      <c r="I8" s="21"/>
      <c r="J8" s="21">
        <f>J5</f>
        <v>0</v>
      </c>
      <c r="K8" s="21"/>
      <c r="L8" s="21">
        <f>L5</f>
        <v>0</v>
      </c>
      <c r="M8" s="21">
        <f>M5</f>
        <v>0</v>
      </c>
      <c r="N8" s="21">
        <f>N5</f>
        <v>25425.789108586236</v>
      </c>
      <c r="O8" s="21">
        <f>O5</f>
        <v>806.68000000000018</v>
      </c>
      <c r="P8" s="21">
        <f>P5</f>
        <v>2192.6666666666665</v>
      </c>
    </row>
    <row r="9" spans="1:16">
      <c r="B9" s="19"/>
      <c r="C9" s="19"/>
      <c r="D9" s="258"/>
      <c r="E9" s="19"/>
      <c r="F9" s="19"/>
      <c r="G9" s="19"/>
      <c r="H9" s="19"/>
      <c r="I9" s="19"/>
      <c r="J9" s="19"/>
      <c r="K9" s="19"/>
      <c r="L9" s="19"/>
      <c r="M9" s="19"/>
      <c r="N9" s="19"/>
      <c r="O9" s="19"/>
      <c r="P9" s="19"/>
    </row>
    <row r="10" spans="1:16">
      <c r="A10" s="24" t="s">
        <v>214</v>
      </c>
      <c r="B10" s="25">
        <f ca="1">'EF ele_warmte'!B12</f>
        <v>0.17237172331714729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8777.0698858971646</v>
      </c>
      <c r="C12" s="23">
        <f ca="1">C10*C8</f>
        <v>0</v>
      </c>
      <c r="D12" s="23">
        <f>D8*D10</f>
        <v>18554.341896915001</v>
      </c>
      <c r="E12" s="23">
        <f>E10*E8</f>
        <v>1380.9251604350779</v>
      </c>
      <c r="F12" s="23">
        <f>F10*F8</f>
        <v>22051.904032919454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12727</v>
      </c>
      <c r="C28" s="36"/>
      <c r="D28" s="228"/>
    </row>
    <row r="29" spans="1:7" s="15" customFormat="1">
      <c r="A29" s="230" t="s">
        <v>795</v>
      </c>
      <c r="B29" s="37">
        <f>SUM(HH_hh_gas_aantal,HH_rest_gas_aantal)</f>
        <v>6966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6966</v>
      </c>
      <c r="C32" s="167">
        <f>IF(ISERROR(B32/SUM($B$32,$B$34,$B$35,$B$36,$B$38,$B$39)*100),0,B32/SUM($B$32,$B$34,$B$35,$B$36,$B$38,$B$39)*100)</f>
        <v>55.233111322549952</v>
      </c>
      <c r="D32" s="233"/>
      <c r="G32" s="15"/>
    </row>
    <row r="33" spans="1:7">
      <c r="A33" s="171" t="s">
        <v>72</v>
      </c>
      <c r="B33" s="34" t="s">
        <v>111</v>
      </c>
      <c r="C33" s="167"/>
      <c r="D33" s="233"/>
      <c r="G33" s="15"/>
    </row>
    <row r="34" spans="1:7">
      <c r="A34" s="171" t="s">
        <v>73</v>
      </c>
      <c r="B34" s="33">
        <f>IF((($B$28-$B$32-$B$39-$B$77-$B$38)*C20/100)&lt;0,0,($B$28-$B$32-$B$39-$B$77-$B$38)*C20/100)</f>
        <v>287.31147902869753</v>
      </c>
      <c r="C34" s="167">
        <f>IF(ISERROR(B34/SUM($B$32,$B$34,$B$35,$B$36,$B$38,$B$39)*100),0,B34/SUM($B$32,$B$34,$B$35,$B$36,$B$38,$B$39)*100)</f>
        <v>2.2780802333388639</v>
      </c>
      <c r="D34" s="233"/>
      <c r="G34" s="15"/>
    </row>
    <row r="35" spans="1:7">
      <c r="A35" s="171" t="s">
        <v>74</v>
      </c>
      <c r="B35" s="33">
        <f>IF((($B$28-$B$32-$B$39-$B$77-$B$38)*C21/100)&lt;0,0,($B$28-$B$32-$B$39-$B$77-$B$38)*C21/100)</f>
        <v>1816.0253863134653</v>
      </c>
      <c r="C35" s="167">
        <f>IF(ISERROR(B35/SUM($B$32,$B$34,$B$35,$B$36,$B$38,$B$39)*100),0,B35/SUM($B$32,$B$34,$B$35,$B$36,$B$38,$B$39)*100)</f>
        <v>14.399186380538101</v>
      </c>
      <c r="D35" s="233"/>
      <c r="G35" s="15"/>
    </row>
    <row r="36" spans="1:7">
      <c r="A36" s="171" t="s">
        <v>75</v>
      </c>
      <c r="B36" s="33">
        <f>IF((($B$28-$B$32-$B$39-$B$77-$B$38)*C22/100)&lt;0,0,($B$28-$B$32-$B$39-$B$77-$B$38)*C22/100)</f>
        <v>352.36313465783661</v>
      </c>
      <c r="C36" s="167">
        <f>IF(ISERROR(B36/SUM($B$32,$B$34,$B$35,$B$36,$B$38,$B$39)*100),0,B36/SUM($B$32,$B$34,$B$35,$B$36,$B$38,$B$39)*100)</f>
        <v>2.7938719842835127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3190.3</v>
      </c>
      <c r="C39" s="167">
        <f>IF(ISERROR(B39/SUM($B$32,$B$34,$B$35,$B$36,$B$38,$B$39)*100),0,B39/SUM($B$32,$B$34,$B$35,$B$36,$B$38,$B$39)*100)</f>
        <v>25.295750079289569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6966</v>
      </c>
      <c r="C44" s="34" t="s">
        <v>111</v>
      </c>
      <c r="D44" s="174"/>
    </row>
    <row r="45" spans="1:7">
      <c r="A45" s="171" t="s">
        <v>72</v>
      </c>
      <c r="B45" s="33" t="str">
        <f t="shared" si="0"/>
        <v>-</v>
      </c>
      <c r="C45" s="34" t="s">
        <v>111</v>
      </c>
      <c r="D45" s="174"/>
    </row>
    <row r="46" spans="1:7">
      <c r="A46" s="171" t="s">
        <v>73</v>
      </c>
      <c r="B46" s="33">
        <f t="shared" si="0"/>
        <v>287.31147902869753</v>
      </c>
      <c r="C46" s="34" t="s">
        <v>111</v>
      </c>
      <c r="D46" s="174"/>
    </row>
    <row r="47" spans="1:7">
      <c r="A47" s="171" t="s">
        <v>74</v>
      </c>
      <c r="B47" s="33">
        <f t="shared" si="0"/>
        <v>1816.0253863134653</v>
      </c>
      <c r="C47" s="34" t="s">
        <v>111</v>
      </c>
      <c r="D47" s="174"/>
    </row>
    <row r="48" spans="1:7">
      <c r="A48" s="171" t="s">
        <v>75</v>
      </c>
      <c r="B48" s="33">
        <f t="shared" si="0"/>
        <v>352.36313465783661</v>
      </c>
      <c r="C48" s="33">
        <f>B48*10</f>
        <v>3523.631346578366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3190.3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46361.997049999998</v>
      </c>
      <c r="C5" s="17">
        <f>IF(ISERROR('Eigen informatie GS &amp; warmtenet'!B58),0,'Eigen informatie GS &amp; warmtenet'!B58)</f>
        <v>0</v>
      </c>
      <c r="D5" s="30">
        <f>SUM(D6:D12)</f>
        <v>43007.865841600003</v>
      </c>
      <c r="E5" s="17">
        <f>SUM(E6:E12)</f>
        <v>686.90802636657065</v>
      </c>
      <c r="F5" s="17">
        <f>SUM(F6:F12)</f>
        <v>8556.0364249962695</v>
      </c>
      <c r="G5" s="18"/>
      <c r="H5" s="17"/>
      <c r="I5" s="17"/>
      <c r="J5" s="17">
        <f>SUM(J6:J12)</f>
        <v>0.18385419831811248</v>
      </c>
      <c r="K5" s="17"/>
      <c r="L5" s="17"/>
      <c r="M5" s="17"/>
      <c r="N5" s="17">
        <f>SUM(N6:N12)</f>
        <v>7342.0271852448286</v>
      </c>
      <c r="O5" s="17">
        <f>B38*B39*B40</f>
        <v>6.2533333333333339</v>
      </c>
      <c r="P5" s="17">
        <f>B46*B47*B48/1000-B46*B47*B48/1000/B49</f>
        <v>190.66666666666669</v>
      </c>
      <c r="R5" s="32"/>
    </row>
    <row r="6" spans="1:18">
      <c r="A6" s="32" t="s">
        <v>54</v>
      </c>
      <c r="B6" s="37">
        <f>B26</f>
        <v>9286.0287499999995</v>
      </c>
      <c r="C6" s="33"/>
      <c r="D6" s="37">
        <f>IF(ISERROR(TER_kantoor_gas_kWh/1000),0,TER_kantoor_gas_kWh/1000)*0.902</f>
        <v>7069.1034370000007</v>
      </c>
      <c r="E6" s="33">
        <f>$C$26*'E Balans VL '!I12/100/3.6*1000000</f>
        <v>5.8201739720223217E-2</v>
      </c>
      <c r="F6" s="33">
        <f>$C$26*('E Balans VL '!L12+'E Balans VL '!N12)/100/3.6*1000000</f>
        <v>1395.4306447344852</v>
      </c>
      <c r="G6" s="34"/>
      <c r="H6" s="33"/>
      <c r="I6" s="33"/>
      <c r="J6" s="33">
        <f>$C$26*('E Balans VL '!D12+'E Balans VL '!E12)/100/3.6*1000000</f>
        <v>0</v>
      </c>
      <c r="K6" s="33"/>
      <c r="L6" s="33"/>
      <c r="M6" s="33"/>
      <c r="N6" s="33">
        <f>$C$26*'E Balans VL '!Y12/100/3.6*1000000</f>
        <v>8.8807096945165132</v>
      </c>
      <c r="O6" s="33"/>
      <c r="P6" s="33"/>
      <c r="R6" s="32"/>
    </row>
    <row r="7" spans="1:18">
      <c r="A7" s="32" t="s">
        <v>53</v>
      </c>
      <c r="B7" s="37">
        <f t="shared" ref="B7:B12" si="0">B27</f>
        <v>3421.1238499999995</v>
      </c>
      <c r="C7" s="33"/>
      <c r="D7" s="37">
        <f>IF(ISERROR(TER_horeca_gas_kWh/1000),0,TER_horeca_gas_kWh/1000)*0.902</f>
        <v>3764.7906912000003</v>
      </c>
      <c r="E7" s="33">
        <f>$C$27*'E Balans VL '!I9/100/3.6*1000000</f>
        <v>48.989923681549953</v>
      </c>
      <c r="F7" s="33">
        <f>$C$27*('E Balans VL '!L9+'E Balans VL '!N9)/100/3.6*1000000</f>
        <v>433.22711242156214</v>
      </c>
      <c r="G7" s="34"/>
      <c r="H7" s="33"/>
      <c r="I7" s="33"/>
      <c r="J7" s="33">
        <f>$C$27*('E Balans VL '!D9+'E Balans VL '!E9)/100/3.6*1000000</f>
        <v>0</v>
      </c>
      <c r="K7" s="33"/>
      <c r="L7" s="33"/>
      <c r="M7" s="33"/>
      <c r="N7" s="33">
        <f>$C$27*'E Balans VL '!Y9/100/3.6*1000000</f>
        <v>0.98349767756893369</v>
      </c>
      <c r="O7" s="33"/>
      <c r="P7" s="33"/>
      <c r="R7" s="32"/>
    </row>
    <row r="8" spans="1:18">
      <c r="A8" s="6" t="s">
        <v>52</v>
      </c>
      <c r="B8" s="37">
        <f t="shared" si="0"/>
        <v>16898.319</v>
      </c>
      <c r="C8" s="33"/>
      <c r="D8" s="37">
        <f>IF(ISERROR(TER_handel_gas_kWh/1000),0,TER_handel_gas_kWh/1000)*0.902</f>
        <v>12534.203726000002</v>
      </c>
      <c r="E8" s="33">
        <f>$C$28*'E Balans VL '!I13/100/3.6*1000000</f>
        <v>612.89994632265882</v>
      </c>
      <c r="F8" s="33">
        <f>$C$28*('E Balans VL '!L13+'E Balans VL '!N13)/100/3.6*1000000</f>
        <v>3254.7873457584778</v>
      </c>
      <c r="G8" s="34"/>
      <c r="H8" s="33"/>
      <c r="I8" s="33"/>
      <c r="J8" s="33">
        <f>$C$28*('E Balans VL '!D13+'E Balans VL '!E13)/100/3.6*1000000</f>
        <v>0</v>
      </c>
      <c r="K8" s="33"/>
      <c r="L8" s="33"/>
      <c r="M8" s="33"/>
      <c r="N8" s="33">
        <f>$C$28*'E Balans VL '!Y13/100/3.6*1000000</f>
        <v>23.408059944796513</v>
      </c>
      <c r="O8" s="33"/>
      <c r="P8" s="33"/>
      <c r="R8" s="32"/>
    </row>
    <row r="9" spans="1:18">
      <c r="A9" s="32" t="s">
        <v>51</v>
      </c>
      <c r="B9" s="37">
        <f t="shared" si="0"/>
        <v>7331.6620000000003</v>
      </c>
      <c r="C9" s="33"/>
      <c r="D9" s="37">
        <f>IF(ISERROR(TER_gezond_gas_kWh/1000),0,TER_gezond_gas_kWh/1000)*0.902</f>
        <v>5513.8060340000002</v>
      </c>
      <c r="E9" s="33">
        <f>$C$29*'E Balans VL '!I10/100/3.6*1000000</f>
        <v>0.45903442828476698</v>
      </c>
      <c r="F9" s="33">
        <f>$C$29*('E Balans VL '!L10+'E Balans VL '!N10)/100/3.6*1000000</f>
        <v>1089.1407128848805</v>
      </c>
      <c r="G9" s="34"/>
      <c r="H9" s="33"/>
      <c r="I9" s="33"/>
      <c r="J9" s="33">
        <f>$C$29*('E Balans VL '!D10+'E Balans VL '!E10)/100/3.6*1000000</f>
        <v>0</v>
      </c>
      <c r="K9" s="33"/>
      <c r="L9" s="33"/>
      <c r="M9" s="33"/>
      <c r="N9" s="33">
        <f>$C$29*'E Balans VL '!Y10/100/3.6*1000000</f>
        <v>113.40685526091049</v>
      </c>
      <c r="O9" s="33"/>
      <c r="P9" s="33"/>
      <c r="R9" s="32"/>
    </row>
    <row r="10" spans="1:18">
      <c r="A10" s="32" t="s">
        <v>50</v>
      </c>
      <c r="B10" s="37">
        <f t="shared" si="0"/>
        <v>8470.1704499999996</v>
      </c>
      <c r="C10" s="33"/>
      <c r="D10" s="37">
        <f>IF(ISERROR(TER_ander_gas_kWh/1000),0,TER_ander_gas_kWh/1000)*0.902</f>
        <v>11774.2359834</v>
      </c>
      <c r="E10" s="33">
        <f>$C$30*'E Balans VL '!I14/100/3.6*1000000</f>
        <v>10.096140503650826</v>
      </c>
      <c r="F10" s="33">
        <f>$C$30*('E Balans VL '!L14+'E Balans VL '!N14)/100/3.6*1000000</f>
        <v>2216.1731439224563</v>
      </c>
      <c r="G10" s="34"/>
      <c r="H10" s="33"/>
      <c r="I10" s="33"/>
      <c r="J10" s="33">
        <f>$C$30*('E Balans VL '!D14+'E Balans VL '!E14)/100/3.6*1000000</f>
        <v>0.18385419831811248</v>
      </c>
      <c r="K10" s="33"/>
      <c r="L10" s="33"/>
      <c r="M10" s="33"/>
      <c r="N10" s="33">
        <f>$C$30*'E Balans VL '!Y14/100/3.6*1000000</f>
        <v>7192.6614839865106</v>
      </c>
      <c r="O10" s="33"/>
      <c r="P10" s="33"/>
      <c r="R10" s="32"/>
    </row>
    <row r="11" spans="1:18">
      <c r="A11" s="32" t="s">
        <v>55</v>
      </c>
      <c r="B11" s="37">
        <f t="shared" si="0"/>
        <v>954.69299999999998</v>
      </c>
      <c r="C11" s="33"/>
      <c r="D11" s="37">
        <f>IF(ISERROR(TER_onderwijs_gas_kWh/1000),0,TER_onderwijs_gas_kWh/1000)*0.902</f>
        <v>2351.72597</v>
      </c>
      <c r="E11" s="33">
        <f>$C$31*'E Balans VL '!I11/100/3.6*1000000</f>
        <v>14.404779690706047</v>
      </c>
      <c r="F11" s="33">
        <f>$C$31*('E Balans VL '!L11+'E Balans VL '!N11)/100/3.6*1000000</f>
        <v>167.27746527440721</v>
      </c>
      <c r="G11" s="34"/>
      <c r="H11" s="33"/>
      <c r="I11" s="33"/>
      <c r="J11" s="33">
        <f>$C$31*('E Balans VL '!D11+'E Balans VL '!E11)/100/3.6*1000000</f>
        <v>0</v>
      </c>
      <c r="K11" s="33"/>
      <c r="L11" s="33"/>
      <c r="M11" s="33"/>
      <c r="N11" s="33">
        <f>$C$31*'E Balans VL '!Y11/100/3.6*1000000</f>
        <v>2.6865786805257859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46361.997049999998</v>
      </c>
      <c r="C16" s="21">
        <f t="shared" ca="1" si="1"/>
        <v>0</v>
      </c>
      <c r="D16" s="21">
        <f t="shared" ca="1" si="1"/>
        <v>43007.865841600003</v>
      </c>
      <c r="E16" s="21">
        <f t="shared" si="1"/>
        <v>686.90802636657065</v>
      </c>
      <c r="F16" s="21">
        <f t="shared" ca="1" si="1"/>
        <v>8556.0364249962695</v>
      </c>
      <c r="G16" s="21">
        <f t="shared" si="1"/>
        <v>0</v>
      </c>
      <c r="H16" s="21">
        <f t="shared" si="1"/>
        <v>0</v>
      </c>
      <c r="I16" s="21">
        <f t="shared" si="1"/>
        <v>0</v>
      </c>
      <c r="J16" s="21">
        <f t="shared" si="1"/>
        <v>0.18385419831811248</v>
      </c>
      <c r="K16" s="21">
        <f t="shared" si="1"/>
        <v>0</v>
      </c>
      <c r="L16" s="21">
        <f t="shared" ca="1" si="1"/>
        <v>0</v>
      </c>
      <c r="M16" s="21">
        <f t="shared" si="1"/>
        <v>0</v>
      </c>
      <c r="N16" s="21">
        <f t="shared" ca="1" si="1"/>
        <v>7342.0271852448286</v>
      </c>
      <c r="O16" s="21">
        <f>O5</f>
        <v>6.2533333333333339</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0.17237172331714729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7991.4973279329979</v>
      </c>
      <c r="C20" s="23">
        <f t="shared" ref="C20:P20" ca="1" si="2">C16*C18</f>
        <v>0</v>
      </c>
      <c r="D20" s="23">
        <f t="shared" ca="1" si="2"/>
        <v>8687.5889000032021</v>
      </c>
      <c r="E20" s="23">
        <f t="shared" si="2"/>
        <v>155.92812198521153</v>
      </c>
      <c r="F20" s="23">
        <f t="shared" ca="1" si="2"/>
        <v>2284.4617254740042</v>
      </c>
      <c r="G20" s="23">
        <f t="shared" si="2"/>
        <v>0</v>
      </c>
      <c r="H20" s="23">
        <f t="shared" si="2"/>
        <v>0</v>
      </c>
      <c r="I20" s="23">
        <f t="shared" si="2"/>
        <v>0</v>
      </c>
      <c r="J20" s="23">
        <f t="shared" si="2"/>
        <v>6.5084386204611808E-2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9286.0287499999995</v>
      </c>
      <c r="C26" s="39">
        <f>IF(ISERROR(B26*3.6/1000000/'E Balans VL '!Z12*100),0,B26*3.6/1000000/'E Balans VL '!Z12*100)</f>
        <v>0.19629193751723789</v>
      </c>
      <c r="D26" s="237" t="s">
        <v>754</v>
      </c>
      <c r="F26" s="6"/>
    </row>
    <row r="27" spans="1:18">
      <c r="A27" s="231" t="s">
        <v>53</v>
      </c>
      <c r="B27" s="33">
        <f>IF(ISERROR(TER_horeca_ele_kWh/1000),0,TER_horeca_ele_kWh/1000)</f>
        <v>3421.1238499999995</v>
      </c>
      <c r="C27" s="39">
        <f>IF(ISERROR(B27*3.6/1000000/'E Balans VL '!Z9*100),0,B27*3.6/1000000/'E Balans VL '!Z9*100)</f>
        <v>0.26968591797754393</v>
      </c>
      <c r="D27" s="237" t="s">
        <v>754</v>
      </c>
      <c r="F27" s="6"/>
    </row>
    <row r="28" spans="1:18">
      <c r="A28" s="171" t="s">
        <v>52</v>
      </c>
      <c r="B28" s="33">
        <f>IF(ISERROR(TER_handel_ele_kWh/1000),0,TER_handel_ele_kWh/1000)</f>
        <v>16898.319</v>
      </c>
      <c r="C28" s="39">
        <f>IF(ISERROR(B28*3.6/1000000/'E Balans VL '!Z13*100),0,B28*3.6/1000000/'E Balans VL '!Z13*100)</f>
        <v>0.49045749423959895</v>
      </c>
      <c r="D28" s="237" t="s">
        <v>754</v>
      </c>
      <c r="F28" s="6"/>
    </row>
    <row r="29" spans="1:18">
      <c r="A29" s="231" t="s">
        <v>51</v>
      </c>
      <c r="B29" s="33">
        <f>IF(ISERROR(TER_gezond_ele_kWh/1000),0,TER_gezond_ele_kWh/1000)</f>
        <v>7331.6620000000003</v>
      </c>
      <c r="C29" s="39">
        <f>IF(ISERROR(B29*3.6/1000000/'E Balans VL '!Z10*100),0,B29*3.6/1000000/'E Balans VL '!Z10*100)</f>
        <v>0.77214439766784604</v>
      </c>
      <c r="D29" s="237" t="s">
        <v>754</v>
      </c>
      <c r="F29" s="6"/>
    </row>
    <row r="30" spans="1:18">
      <c r="A30" s="231" t="s">
        <v>50</v>
      </c>
      <c r="B30" s="33">
        <f>IF(ISERROR(TER_ander_ele_kWh/1000),0,TER_ander_ele_kWh/1000)</f>
        <v>8470.1704499999996</v>
      </c>
      <c r="C30" s="39">
        <f>IF(ISERROR(B30*3.6/1000000/'E Balans VL '!Z14*100),0,B30*3.6/1000000/'E Balans VL '!Z14*100)</f>
        <v>0.62476161210387038</v>
      </c>
      <c r="D30" s="237" t="s">
        <v>754</v>
      </c>
      <c r="F30" s="6"/>
    </row>
    <row r="31" spans="1:18">
      <c r="A31" s="231" t="s">
        <v>55</v>
      </c>
      <c r="B31" s="33">
        <f>IF(ISERROR(TER_onderwijs_ele_kWh/1000),0,TER_onderwijs_ele_kWh/1000)</f>
        <v>954.69299999999998</v>
      </c>
      <c r="C31" s="39">
        <f>IF(ISERROR(B31*3.6/1000000/'E Balans VL '!Z11*100),0,B31*3.6/1000000/'E Balans VL '!Z11*100)</f>
        <v>0.23709499235379963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13155.864800000001</v>
      </c>
      <c r="C5" s="17">
        <f>IF(ISERROR('Eigen informatie GS &amp; warmtenet'!B59),0,'Eigen informatie GS &amp; warmtenet'!B59)</f>
        <v>0</v>
      </c>
      <c r="D5" s="30">
        <f>SUM(D6:D15)</f>
        <v>33209.818140400006</v>
      </c>
      <c r="E5" s="17">
        <f>SUM(E6:E15)</f>
        <v>2267.8425477951346</v>
      </c>
      <c r="F5" s="17">
        <f>SUM(F6:F15)</f>
        <v>7170.4633092350496</v>
      </c>
      <c r="G5" s="18"/>
      <c r="H5" s="17"/>
      <c r="I5" s="17"/>
      <c r="J5" s="17">
        <f>SUM(J6:J15)</f>
        <v>4.6938200898906146</v>
      </c>
      <c r="K5" s="17"/>
      <c r="L5" s="17"/>
      <c r="M5" s="17"/>
      <c r="N5" s="17">
        <f>SUM(N6:N15)</f>
        <v>3230.9716771036624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2093.4409999999998</v>
      </c>
      <c r="C8" s="33"/>
      <c r="D8" s="37">
        <f>IF( ISERROR(IND_metaal_Gas_kWH/1000),0,IND_metaal_Gas_kWH/1000)*0.902</f>
        <v>7952.3089140000011</v>
      </c>
      <c r="E8" s="33">
        <f>C30*'E Balans VL '!I18/100/3.6*1000000</f>
        <v>19.247168130454206</v>
      </c>
      <c r="F8" s="33">
        <f>C30*'E Balans VL '!L18/100/3.6*1000000+C30*'E Balans VL '!N18/100/3.6*1000000</f>
        <v>196.29506809398862</v>
      </c>
      <c r="G8" s="34"/>
      <c r="H8" s="33"/>
      <c r="I8" s="33"/>
      <c r="J8" s="40">
        <f>C30*'E Balans VL '!D18/100/3.6*1000000+C30*'E Balans VL '!E18/100/3.6*1000000</f>
        <v>0</v>
      </c>
      <c r="K8" s="33"/>
      <c r="L8" s="33"/>
      <c r="M8" s="33"/>
      <c r="N8" s="33">
        <f>C30*'E Balans VL '!Y18/100/3.6*1000000</f>
        <v>29.866395421938062</v>
      </c>
      <c r="O8" s="33"/>
      <c r="P8" s="33"/>
      <c r="R8" s="32"/>
    </row>
    <row r="9" spans="1:18">
      <c r="A9" s="6" t="s">
        <v>33</v>
      </c>
      <c r="B9" s="37">
        <f t="shared" si="0"/>
        <v>7403.3008000000009</v>
      </c>
      <c r="C9" s="33"/>
      <c r="D9" s="37">
        <f>IF( ISERROR(IND_andere_gas_kWh/1000),0,IND_andere_gas_kWh/1000)*0.902</f>
        <v>23625.577452400004</v>
      </c>
      <c r="E9" s="33">
        <f>C31*'E Balans VL '!I19/100/3.6*1000000</f>
        <v>2164.1289491070993</v>
      </c>
      <c r="F9" s="33">
        <f>C31*'E Balans VL '!L19/100/3.6*1000000+C31*'E Balans VL '!N19/100/3.6*1000000</f>
        <v>5949.1125711796767</v>
      </c>
      <c r="G9" s="34"/>
      <c r="H9" s="33"/>
      <c r="I9" s="33"/>
      <c r="J9" s="40">
        <f>C31*'E Balans VL '!D19/100/3.6*1000000+C31*'E Balans VL '!E19/100/3.6*1000000</f>
        <v>0</v>
      </c>
      <c r="K9" s="33"/>
      <c r="L9" s="33"/>
      <c r="M9" s="33"/>
      <c r="N9" s="33">
        <f>C31*'E Balans VL '!Y19/100/3.6*1000000</f>
        <v>2446.1654013748721</v>
      </c>
      <c r="O9" s="33"/>
      <c r="P9" s="33"/>
      <c r="R9" s="32"/>
    </row>
    <row r="10" spans="1:18">
      <c r="A10" s="6" t="s">
        <v>41</v>
      </c>
      <c r="B10" s="37">
        <f t="shared" si="0"/>
        <v>618.95699999999999</v>
      </c>
      <c r="C10" s="33"/>
      <c r="D10" s="37">
        <f>IF( ISERROR(IND_voed_gas_kWh/1000),0,IND_voed_gas_kWh/1000)*0.902</f>
        <v>374.37149199999999</v>
      </c>
      <c r="E10" s="33">
        <f>C32*'E Balans VL '!I20/100/3.6*1000000</f>
        <v>1.309413130541951</v>
      </c>
      <c r="F10" s="33">
        <f>C32*'E Balans VL '!L20/100/3.6*1000000+C32*'E Balans VL '!N20/100/3.6*1000000</f>
        <v>39.353918306035162</v>
      </c>
      <c r="G10" s="34"/>
      <c r="H10" s="33"/>
      <c r="I10" s="33"/>
      <c r="J10" s="40">
        <f>C32*'E Balans VL '!D20/100/3.6*1000000+C32*'E Balans VL '!E20/100/3.6*1000000</f>
        <v>0</v>
      </c>
      <c r="K10" s="33"/>
      <c r="L10" s="33"/>
      <c r="M10" s="33"/>
      <c r="N10" s="33">
        <f>C32*'E Balans VL '!Y20/100/3.6*1000000</f>
        <v>42.714141016922831</v>
      </c>
      <c r="O10" s="33"/>
      <c r="P10" s="33"/>
      <c r="R10" s="32"/>
    </row>
    <row r="11" spans="1:18">
      <c r="A11" s="6" t="s">
        <v>40</v>
      </c>
      <c r="B11" s="37">
        <f t="shared" si="0"/>
        <v>24.334</v>
      </c>
      <c r="C11" s="33"/>
      <c r="D11" s="37">
        <f>IF( ISERROR(IND_textiel_gas_kWh/1000),0,IND_textiel_gas_kWh/1000)*0.902</f>
        <v>0</v>
      </c>
      <c r="E11" s="33">
        <f>C33*'E Balans VL '!I21/100/3.6*1000000</f>
        <v>7.226988200587621E-2</v>
      </c>
      <c r="F11" s="33">
        <f>C33*'E Balans VL '!L21/100/3.6*1000000+C33*'E Balans VL '!N21/100/3.6*1000000</f>
        <v>2.4584020684736587</v>
      </c>
      <c r="G11" s="34"/>
      <c r="H11" s="33"/>
      <c r="I11" s="33"/>
      <c r="J11" s="40">
        <f>C33*'E Balans VL '!D21/100/3.6*1000000+C33*'E Balans VL '!E21/100/3.6*1000000</f>
        <v>0</v>
      </c>
      <c r="K11" s="33"/>
      <c r="L11" s="33"/>
      <c r="M11" s="33"/>
      <c r="N11" s="33">
        <f>C33*'E Balans VL '!Y21/100/3.6*1000000</f>
        <v>1.3420977584143507</v>
      </c>
      <c r="O11" s="33"/>
      <c r="P11" s="33"/>
      <c r="R11" s="32"/>
    </row>
    <row r="12" spans="1:18">
      <c r="A12" s="6" t="s">
        <v>37</v>
      </c>
      <c r="B12" s="37">
        <f t="shared" si="0"/>
        <v>2853.6419999999998</v>
      </c>
      <c r="C12" s="33"/>
      <c r="D12" s="37">
        <f>IF( ISERROR(IND_min_gas_kWh/1000),0,IND_min_gas_kWh/1000)*0.902</f>
        <v>0</v>
      </c>
      <c r="E12" s="33">
        <f>C34*'E Balans VL '!I22/100/3.6*1000000</f>
        <v>82.715331240693786</v>
      </c>
      <c r="F12" s="33">
        <f>C34*'E Balans VL '!L22/100/3.6*1000000+C34*'E Balans VL '!N22/100/3.6*1000000</f>
        <v>981.11436647328912</v>
      </c>
      <c r="G12" s="34"/>
      <c r="H12" s="33"/>
      <c r="I12" s="33"/>
      <c r="J12" s="40">
        <f>C34*'E Balans VL '!D22/100/3.6*1000000+C34*'E Balans VL '!E22/100/3.6*1000000</f>
        <v>4.6893937381896809</v>
      </c>
      <c r="K12" s="33"/>
      <c r="L12" s="33"/>
      <c r="M12" s="33"/>
      <c r="N12" s="33">
        <f>C34*'E Balans VL '!Y22/100/3.6*1000000</f>
        <v>624.70912853020786</v>
      </c>
      <c r="O12" s="33"/>
      <c r="P12" s="33"/>
      <c r="R12" s="32"/>
    </row>
    <row r="13" spans="1:18">
      <c r="A13" s="6" t="s">
        <v>39</v>
      </c>
      <c r="B13" s="37">
        <f t="shared" si="0"/>
        <v>28.62</v>
      </c>
      <c r="C13" s="33"/>
      <c r="D13" s="37">
        <f>IF( ISERROR(IND_papier_gas_kWh/1000),0,IND_papier_gas_kWh/1000)*0.902</f>
        <v>0</v>
      </c>
      <c r="E13" s="33">
        <f>C35*'E Balans VL '!I23/100/3.6*1000000</f>
        <v>4.0605234656811373E-2</v>
      </c>
      <c r="F13" s="33">
        <f>C35*'E Balans VL '!L23/100/3.6*1000000+C35*'E Balans VL '!N23/100/3.6*1000000</f>
        <v>0.698721818138616</v>
      </c>
      <c r="G13" s="34"/>
      <c r="H13" s="33"/>
      <c r="I13" s="33"/>
      <c r="J13" s="40">
        <f>C35*'E Balans VL '!D23/100/3.6*1000000+C35*'E Balans VL '!E23/100/3.6*1000000</f>
        <v>4.42635170093395E-3</v>
      </c>
      <c r="K13" s="33"/>
      <c r="L13" s="33"/>
      <c r="M13" s="33"/>
      <c r="N13" s="33">
        <f>C35*'E Balans VL '!Y23/100/3.6*1000000</f>
        <v>83.191565180660973</v>
      </c>
      <c r="O13" s="33"/>
      <c r="P13" s="33"/>
      <c r="R13" s="32"/>
    </row>
    <row r="14" spans="1:18">
      <c r="A14" s="6" t="s">
        <v>34</v>
      </c>
      <c r="B14" s="37">
        <f t="shared" si="0"/>
        <v>133.57</v>
      </c>
      <c r="C14" s="33"/>
      <c r="D14" s="37">
        <f>IF( ISERROR(IND_chemie_gas_kWh/1000),0,IND_chemie_gas_kWh/1000)*0.902</f>
        <v>1257.5602820000001</v>
      </c>
      <c r="E14" s="33">
        <f>C36*'E Balans VL '!I24/100/3.6*1000000</f>
        <v>0.32881106968308865</v>
      </c>
      <c r="F14" s="33">
        <f>C36*'E Balans VL '!L24/100/3.6*1000000+C36*'E Balans VL '!N24/100/3.6*1000000</f>
        <v>1.430261295448596</v>
      </c>
      <c r="G14" s="34"/>
      <c r="H14" s="33"/>
      <c r="I14" s="33"/>
      <c r="J14" s="40">
        <f>C36*'E Balans VL '!D24/100/3.6*1000000+C36*'E Balans VL '!E24/100/3.6*1000000</f>
        <v>0</v>
      </c>
      <c r="K14" s="33"/>
      <c r="L14" s="33"/>
      <c r="M14" s="33"/>
      <c r="N14" s="33">
        <f>C36*'E Balans VL '!Y24/100/3.6*1000000</f>
        <v>2.9829478206461255</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13155.864800000001</v>
      </c>
      <c r="C18" s="21">
        <f>C5+C16</f>
        <v>0</v>
      </c>
      <c r="D18" s="21">
        <f>MAX((D5+D16),0)</f>
        <v>33209.818140400006</v>
      </c>
      <c r="E18" s="21">
        <f>MAX((E5+E16),0)</f>
        <v>2267.8425477951346</v>
      </c>
      <c r="F18" s="21">
        <f>MAX((F5+F16),0)</f>
        <v>7170.4633092350496</v>
      </c>
      <c r="G18" s="21"/>
      <c r="H18" s="21"/>
      <c r="I18" s="21"/>
      <c r="J18" s="21">
        <f>MAX((J5+J16),0)</f>
        <v>4.6938200898906146</v>
      </c>
      <c r="K18" s="21"/>
      <c r="L18" s="21">
        <f>MAX((L5+L16),0)</f>
        <v>0</v>
      </c>
      <c r="M18" s="21"/>
      <c r="N18" s="21">
        <f>MAX((N5+N16),0)</f>
        <v>3230.9716771036624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0.17237172331714729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2267.6990873033974</v>
      </c>
      <c r="C22" s="23">
        <f ca="1">C18*C20</f>
        <v>0</v>
      </c>
      <c r="D22" s="23">
        <f>D18*D20</f>
        <v>6708.3832643608021</v>
      </c>
      <c r="E22" s="23">
        <f>E18*E20</f>
        <v>514.80025834949561</v>
      </c>
      <c r="F22" s="23">
        <f>F18*F20</f>
        <v>1914.5137035657583</v>
      </c>
      <c r="G22" s="23"/>
      <c r="H22" s="23"/>
      <c r="I22" s="23"/>
      <c r="J22" s="23">
        <f>J18*J20</f>
        <v>1.6616123118212776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2093.4409999999998</v>
      </c>
      <c r="C30" s="39">
        <f>IF(ISERROR(B30*3.6/1000000/'E Balans VL '!Z18*100),0,B30*3.6/1000000/'E Balans VL '!Z18*100)</f>
        <v>0.11864066940381282</v>
      </c>
      <c r="D30" s="237" t="s">
        <v>754</v>
      </c>
    </row>
    <row r="31" spans="1:18">
      <c r="A31" s="6" t="s">
        <v>33</v>
      </c>
      <c r="B31" s="37">
        <f>IF( ISERROR(IND_ander_ele_kWh/1000),0,IND_ander_ele_kWh/1000)</f>
        <v>7403.3008000000009</v>
      </c>
      <c r="C31" s="39">
        <f>IF(ISERROR(B31*3.6/1000000/'E Balans VL '!Z19*100),0,B31*3.6/1000000/'E Balans VL '!Z19*100)</f>
        <v>0.33578289748000001</v>
      </c>
      <c r="D31" s="237" t="s">
        <v>754</v>
      </c>
    </row>
    <row r="32" spans="1:18">
      <c r="A32" s="171" t="s">
        <v>41</v>
      </c>
      <c r="B32" s="37">
        <f>IF( ISERROR(IND_voed_ele_kWh/1000),0,IND_voed_ele_kWh/1000)</f>
        <v>618.95699999999999</v>
      </c>
      <c r="C32" s="39">
        <f>IF(ISERROR(B32*3.6/1000000/'E Balans VL '!Z20*100),0,B32*3.6/1000000/'E Balans VL '!Z20*100)</f>
        <v>1.9147149837530825E-2</v>
      </c>
      <c r="D32" s="237" t="s">
        <v>754</v>
      </c>
    </row>
    <row r="33" spans="1:5">
      <c r="A33" s="171" t="s">
        <v>40</v>
      </c>
      <c r="B33" s="37">
        <f>IF( ISERROR(IND_textiel_ele_kWh/1000),0,IND_textiel_ele_kWh/1000)</f>
        <v>24.334</v>
      </c>
      <c r="C33" s="39">
        <f>IF(ISERROR(B33*3.6/1000000/'E Balans VL '!Z21*100),0,B33*3.6/1000000/'E Balans VL '!Z21*100)</f>
        <v>3.1728831138168067E-3</v>
      </c>
      <c r="D33" s="237" t="s">
        <v>754</v>
      </c>
    </row>
    <row r="34" spans="1:5">
      <c r="A34" s="171" t="s">
        <v>37</v>
      </c>
      <c r="B34" s="37">
        <f>IF( ISERROR(IND_min_ele_kWh/1000),0,IND_min_ele_kWh/1000)</f>
        <v>2853.6419999999998</v>
      </c>
      <c r="C34" s="39">
        <f>IF(ISERROR(B34*3.6/1000000/'E Balans VL '!Z22*100),0,B34*3.6/1000000/'E Balans VL '!Z22*100)</f>
        <v>0.51328116319498096</v>
      </c>
      <c r="D34" s="237" t="s">
        <v>754</v>
      </c>
    </row>
    <row r="35" spans="1:5">
      <c r="A35" s="171" t="s">
        <v>39</v>
      </c>
      <c r="B35" s="37">
        <f>IF( ISERROR(IND_papier_ele_kWh/1000),0,IND_papier_ele_kWh/1000)</f>
        <v>28.62</v>
      </c>
      <c r="C35" s="39">
        <f>IF(ISERROR(B35*3.6/1000000/'E Balans VL '!Z22*100),0,B35*3.6/1000000/'E Balans VL '!Z22*100)</f>
        <v>5.1478450662838428E-3</v>
      </c>
      <c r="D35" s="237" t="s">
        <v>754</v>
      </c>
    </row>
    <row r="36" spans="1:5">
      <c r="A36" s="171" t="s">
        <v>34</v>
      </c>
      <c r="B36" s="37">
        <f>IF( ISERROR(IND_chemie_ele_kWh/1000),0,IND_chemie_ele_kWh/1000)</f>
        <v>133.57</v>
      </c>
      <c r="C36" s="39">
        <f>IF(ISERROR(B36*3.6/1000000/'E Balans VL '!Z24*100),0,B36*3.6/1000000/'E Balans VL '!Z24*100)</f>
        <v>4.0730869015983637E-3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234.59399999999999</v>
      </c>
      <c r="C5" s="17">
        <f>'Eigen informatie GS &amp; warmtenet'!B60</f>
        <v>0</v>
      </c>
      <c r="D5" s="30">
        <f>IF(ISERROR(SUM(LB_lb_gas_kWh,LB_rest_gas_kWh,onbekend_gas_kWh)/1000),0,SUM(LB_lb_gas_kWh,LB_rest_gas_kWh,onbekend_gas_kWh)/1000)*0.902</f>
        <v>0</v>
      </c>
      <c r="E5" s="17">
        <f>B17*'E Balans VL '!I25/3.6*1000000/100</f>
        <v>6.8954341927792893</v>
      </c>
      <c r="F5" s="17">
        <f>B17*('E Balans VL '!L25/3.6*1000000+'E Balans VL '!N25/3.6*1000000)/100</f>
        <v>977.3059272056156</v>
      </c>
      <c r="G5" s="18"/>
      <c r="H5" s="17"/>
      <c r="I5" s="17"/>
      <c r="J5" s="17">
        <f>('E Balans VL '!D25+'E Balans VL '!E25)/3.6*1000000*landbouw!B17/100</f>
        <v>33.987632636181004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234.59399999999999</v>
      </c>
      <c r="C8" s="21">
        <f>C5+C6</f>
        <v>0</v>
      </c>
      <c r="D8" s="21">
        <f>MAX((D5+D6),0)</f>
        <v>0</v>
      </c>
      <c r="E8" s="21">
        <f>MAX((E5+E6),0)</f>
        <v>6.8954341927792893</v>
      </c>
      <c r="F8" s="21">
        <f>MAX((F5+F6),0)</f>
        <v>977.3059272056156</v>
      </c>
      <c r="G8" s="21"/>
      <c r="H8" s="21"/>
      <c r="I8" s="21"/>
      <c r="J8" s="21">
        <f>MAX((J5+J6),0)</f>
        <v>33.987632636181004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0.17237172331714729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40.437372059862852</v>
      </c>
      <c r="C12" s="23">
        <f ca="1">C8*C10</f>
        <v>0</v>
      </c>
      <c r="D12" s="23">
        <f>D8*D10</f>
        <v>0</v>
      </c>
      <c r="E12" s="23">
        <f>E8*E10</f>
        <v>1.5652635617608988</v>
      </c>
      <c r="F12" s="23">
        <f>F8*F10</f>
        <v>260.94068256389937</v>
      </c>
      <c r="G12" s="23"/>
      <c r="H12" s="23"/>
      <c r="I12" s="23"/>
      <c r="J12" s="23">
        <f>J8*J10</f>
        <v>12.031621953208075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3.3289624616228801E-2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29.659230751174547</v>
      </c>
      <c r="C26" s="247">
        <f>B26*'GWP N2O_CH4'!B5</f>
        <v>622.84384577466551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3.3274862548527415</v>
      </c>
      <c r="C27" s="247">
        <f>B27*'GWP N2O_CH4'!B5</f>
        <v>69.877211351907576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0.39552921592776763</v>
      </c>
      <c r="C28" s="247">
        <f>B28*'GWP N2O_CH4'!B4</f>
        <v>122.61405693760797</v>
      </c>
      <c r="D28" s="50"/>
    </row>
    <row r="29" spans="1:4">
      <c r="A29" s="41" t="s">
        <v>277</v>
      </c>
      <c r="B29" s="247">
        <f>B34*'ha_N2O bodem landbouw'!B4</f>
        <v>5.5869086186160306</v>
      </c>
      <c r="C29" s="247">
        <f>B29*'GWP N2O_CH4'!B4</f>
        <v>1731.9416717709694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1.2749132934245534E-3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4.4471378691935336E-4</v>
      </c>
      <c r="C5" s="463" t="s">
        <v>211</v>
      </c>
      <c r="D5" s="448">
        <f>SUM(D6:D11)</f>
        <v>1.5564132367252722E-3</v>
      </c>
      <c r="E5" s="448">
        <f>SUM(E6:E11)</f>
        <v>2.3389893434553914E-3</v>
      </c>
      <c r="F5" s="461" t="s">
        <v>211</v>
      </c>
      <c r="G5" s="448">
        <f>SUM(G6:G11)</f>
        <v>0.86840780167025255</v>
      </c>
      <c r="H5" s="448">
        <f>SUM(H6:H11)</f>
        <v>0.17933333148220221</v>
      </c>
      <c r="I5" s="463" t="s">
        <v>211</v>
      </c>
      <c r="J5" s="463" t="s">
        <v>211</v>
      </c>
      <c r="K5" s="463" t="s">
        <v>211</v>
      </c>
      <c r="L5" s="463" t="s">
        <v>211</v>
      </c>
      <c r="M5" s="448">
        <f>SUM(M6:M11)</f>
        <v>5.6059871730582411E-2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1.2011308799916573E-4</v>
      </c>
      <c r="C6" s="449"/>
      <c r="D6" s="962">
        <f>vkm_2011_GW_PW*SUMIFS(TableVerdeelsleutelVkm[CNG],TableVerdeelsleutelVkm[Voertuigtype],"Lichte voertuigen")*SUMIFS(TableECFTransport[EnergieConsumptieFactor (PJ per km)],TableECFTransport[Index],CONCATENATE($A6,"_CNG_CNG"))</f>
        <v>3.6027032535571252E-4</v>
      </c>
      <c r="E6" s="962">
        <f>vkm_2011_GW_PW*SUMIFS(TableVerdeelsleutelVkm[LPG],TableVerdeelsleutelVkm[Voertuigtype],"Lichte voertuigen")*SUMIFS(TableECFTransport[EnergieConsumptieFactor (PJ per km)],TableECFTransport[Index],CONCATENATE($A6,"_LPG_LPG"))</f>
        <v>4.9218101471777004E-4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0.12725544847762771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4.0969436979237016E-2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8.6508064792563955E-3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2.7534065210027301E-2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8.3903557980784566E-6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1.6089993439937099E-3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8.0938406827934896E-5</v>
      </c>
      <c r="C8" s="449"/>
      <c r="D8" s="451">
        <f>vkm_2011_NGW_PW*SUMIFS(TableVerdeelsleutelVkm[CNG],TableVerdeelsleutelVkm[Voertuigtype],"Lichte voertuigen")*SUMIFS(TableECFTransport[EnergieConsumptieFactor (PJ per km)],TableECFTransport[Index],CONCATENATE($A8,"_CNG_CNG"))</f>
        <v>4.3164558564446378E-4</v>
      </c>
      <c r="E8" s="451">
        <f>vkm_2011_NGW_PW*SUMIFS(TableVerdeelsleutelVkm[LPG],TableVerdeelsleutelVkm[Voertuigtype],"Lichte voertuigen")*SUMIFS(TableECFTransport[EnergieConsumptieFactor (PJ per km)],TableECFTransport[Index],CONCATENATE($A8,"_LPG_LPG"))</f>
        <v>5.4611973660182985E-4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0.13158488503344279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4.7700968699775324E-2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9.103491089357622E-3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8.8827558219883567E-3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2.5482276093849063E-6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5.1907404987180082E-4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2.4366229209225277E-4</v>
      </c>
      <c r="C10" s="449"/>
      <c r="D10" s="451">
        <f>vkm_2011_SW_PW*SUMIFS(TableVerdeelsleutelVkm[CNG],TableVerdeelsleutelVkm[Voertuigtype],"Lichte voertuigen")*SUMIFS(TableECFTransport[EnergieConsumptieFactor (PJ per km)],TableECFTransport[Index],CONCATENATE($A10,"_CNG_CNG"))</f>
        <v>7.6449732572509593E-4</v>
      </c>
      <c r="E10" s="451">
        <f>vkm_2011_SW_PW*SUMIFS(TableVerdeelsleutelVkm[LPG],TableVerdeelsleutelVkm[Voertuigtype],"Lichte voertuigen")*SUMIFS(TableECFTransport[EnergieConsumptieFactor (PJ per km)],TableECFTransport[Index],CONCATENATE($A10,"_LPG_LPG"))</f>
        <v>1.3006885921357915E-3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0.29981166745430499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9.0562039297272107E-2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2.0204280983093712E-2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0.2733389796728613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8.9947922510324666E-5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1.5973219785009169E-2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123.53160747759816</v>
      </c>
      <c r="C14" s="21"/>
      <c r="D14" s="21">
        <f t="shared" ref="D14:M14" si="0">((D5)*10^9/3600)+D12</f>
        <v>432.33701020146447</v>
      </c>
      <c r="E14" s="21">
        <f t="shared" si="0"/>
        <v>649.71926207094202</v>
      </c>
      <c r="F14" s="21"/>
      <c r="G14" s="21">
        <f t="shared" si="0"/>
        <v>241224.38935284794</v>
      </c>
      <c r="H14" s="21">
        <f t="shared" si="0"/>
        <v>49814.814300611724</v>
      </c>
      <c r="I14" s="21"/>
      <c r="J14" s="21"/>
      <c r="K14" s="21"/>
      <c r="L14" s="21"/>
      <c r="M14" s="21">
        <f t="shared" si="0"/>
        <v>15572.186591828447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0.17237172331714729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21.293356065050993</v>
      </c>
      <c r="C18" s="23"/>
      <c r="D18" s="23">
        <f t="shared" ref="D18:M18" si="1">D14*D16</f>
        <v>87.332076060695826</v>
      </c>
      <c r="E18" s="23">
        <f t="shared" si="1"/>
        <v>147.48627249010386</v>
      </c>
      <c r="F18" s="23"/>
      <c r="G18" s="23">
        <f t="shared" si="1"/>
        <v>64406.911957210403</v>
      </c>
      <c r="H18" s="23">
        <f t="shared" si="1"/>
        <v>12403.88876085232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1.1276437891831305E-2</v>
      </c>
      <c r="H50" s="321">
        <f t="shared" si="2"/>
        <v>0</v>
      </c>
      <c r="I50" s="321">
        <f t="shared" si="2"/>
        <v>0</v>
      </c>
      <c r="J50" s="321">
        <f t="shared" si="2"/>
        <v>0</v>
      </c>
      <c r="K50" s="321">
        <f t="shared" si="2"/>
        <v>0</v>
      </c>
      <c r="L50" s="321">
        <f t="shared" si="2"/>
        <v>0</v>
      </c>
      <c r="M50" s="321">
        <f t="shared" si="2"/>
        <v>6.4045189155959882E-4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1.1276437891831305E-2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6.4045189155959882E-4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3132.343858842029</v>
      </c>
      <c r="H54" s="21">
        <f t="shared" si="3"/>
        <v>0</v>
      </c>
      <c r="I54" s="21">
        <f t="shared" si="3"/>
        <v>0</v>
      </c>
      <c r="J54" s="21">
        <f t="shared" si="3"/>
        <v>0</v>
      </c>
      <c r="K54" s="21">
        <f t="shared" si="3"/>
        <v>0</v>
      </c>
      <c r="L54" s="21">
        <f t="shared" si="3"/>
        <v>0</v>
      </c>
      <c r="M54" s="21">
        <f t="shared" si="3"/>
        <v>177.90330321099967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0.17237172331714729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836.33581031082178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24804.160948164164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24804.160948164164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48293.576049999996</v>
      </c>
      <c r="D10" s="718">
        <f ca="1">tertiair!C16</f>
        <v>0</v>
      </c>
      <c r="E10" s="718">
        <f ca="1">tertiair!D16</f>
        <v>43007.865841600003</v>
      </c>
      <c r="F10" s="718">
        <f>tertiair!E16</f>
        <v>686.90802636657065</v>
      </c>
      <c r="G10" s="718">
        <f ca="1">tertiair!F16</f>
        <v>8556.0364249962695</v>
      </c>
      <c r="H10" s="718">
        <f>tertiair!G16</f>
        <v>0</v>
      </c>
      <c r="I10" s="718">
        <f>tertiair!H16</f>
        <v>0</v>
      </c>
      <c r="J10" s="718">
        <f>tertiair!I16</f>
        <v>0</v>
      </c>
      <c r="K10" s="718">
        <f>tertiair!J16</f>
        <v>0.18385419831811248</v>
      </c>
      <c r="L10" s="718">
        <f>tertiair!K16</f>
        <v>0</v>
      </c>
      <c r="M10" s="718">
        <f ca="1">tertiair!L16</f>
        <v>0</v>
      </c>
      <c r="N10" s="718">
        <f>tertiair!M16</f>
        <v>0</v>
      </c>
      <c r="O10" s="718">
        <f ca="1">tertiair!N16</f>
        <v>7342.0271852448286</v>
      </c>
      <c r="P10" s="718">
        <f>tertiair!O16</f>
        <v>6.2533333333333339</v>
      </c>
      <c r="Q10" s="719">
        <f>tertiair!P16</f>
        <v>190.66666666666669</v>
      </c>
      <c r="R10" s="721">
        <f ca="1">SUM(C10:Q10)</f>
        <v>108083.51738240599</v>
      </c>
      <c r="S10" s="67"/>
    </row>
    <row r="11" spans="1:19" s="474" customFormat="1">
      <c r="A11" s="870" t="s">
        <v>225</v>
      </c>
      <c r="B11" s="875"/>
      <c r="C11" s="718">
        <f>huishoudens!B8</f>
        <v>50919.429921508679</v>
      </c>
      <c r="D11" s="718">
        <f>huishoudens!C8</f>
        <v>0</v>
      </c>
      <c r="E11" s="718">
        <f>huishoudens!D8</f>
        <v>91853.177707499999</v>
      </c>
      <c r="F11" s="718">
        <f>huishoudens!E8</f>
        <v>6083.3707508153211</v>
      </c>
      <c r="G11" s="718">
        <f>huishoudens!F8</f>
        <v>82591.400872357495</v>
      </c>
      <c r="H11" s="718">
        <f>huishoudens!G8</f>
        <v>0</v>
      </c>
      <c r="I11" s="718">
        <f>huishoudens!H8</f>
        <v>0</v>
      </c>
      <c r="J11" s="718">
        <f>huishoudens!I8</f>
        <v>0</v>
      </c>
      <c r="K11" s="718">
        <f>huishoudens!J8</f>
        <v>0</v>
      </c>
      <c r="L11" s="718">
        <f>huishoudens!K8</f>
        <v>0</v>
      </c>
      <c r="M11" s="718">
        <f>huishoudens!L8</f>
        <v>0</v>
      </c>
      <c r="N11" s="718">
        <f>huishoudens!M8</f>
        <v>0</v>
      </c>
      <c r="O11" s="718">
        <f>huishoudens!N8</f>
        <v>25425.789108586236</v>
      </c>
      <c r="P11" s="718">
        <f>huishoudens!O8</f>
        <v>806.68000000000018</v>
      </c>
      <c r="Q11" s="719">
        <f>huishoudens!P8</f>
        <v>2192.6666666666665</v>
      </c>
      <c r="R11" s="721">
        <f>SUM(C11:Q11)</f>
        <v>259872.51502743439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13155.864800000001</v>
      </c>
      <c r="D13" s="718">
        <f>industrie!C18</f>
        <v>0</v>
      </c>
      <c r="E13" s="718">
        <f>industrie!D18</f>
        <v>33209.818140400006</v>
      </c>
      <c r="F13" s="718">
        <f>industrie!E18</f>
        <v>2267.8425477951346</v>
      </c>
      <c r="G13" s="718">
        <f>industrie!F18</f>
        <v>7170.4633092350496</v>
      </c>
      <c r="H13" s="718">
        <f>industrie!G18</f>
        <v>0</v>
      </c>
      <c r="I13" s="718">
        <f>industrie!H18</f>
        <v>0</v>
      </c>
      <c r="J13" s="718">
        <f>industrie!I18</f>
        <v>0</v>
      </c>
      <c r="K13" s="718">
        <f>industrie!J18</f>
        <v>4.6938200898906146</v>
      </c>
      <c r="L13" s="718">
        <f>industrie!K18</f>
        <v>0</v>
      </c>
      <c r="M13" s="718">
        <f>industrie!L18</f>
        <v>0</v>
      </c>
      <c r="N13" s="718">
        <f>industrie!M18</f>
        <v>0</v>
      </c>
      <c r="O13" s="718">
        <f>industrie!N18</f>
        <v>3230.9716771036624</v>
      </c>
      <c r="P13" s="718">
        <f>industrie!O18</f>
        <v>0</v>
      </c>
      <c r="Q13" s="719">
        <f>industrie!P18</f>
        <v>0</v>
      </c>
      <c r="R13" s="721">
        <f>SUM(C13:Q13)</f>
        <v>59039.654294623739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112368.87077150868</v>
      </c>
      <c r="D15" s="723">
        <f t="shared" ref="D15:Q15" ca="1" si="0">SUM(D9:D14)</f>
        <v>0</v>
      </c>
      <c r="E15" s="723">
        <f t="shared" ca="1" si="0"/>
        <v>168070.86168949999</v>
      </c>
      <c r="F15" s="723">
        <f t="shared" si="0"/>
        <v>9038.1213249770262</v>
      </c>
      <c r="G15" s="723">
        <f t="shared" ca="1" si="0"/>
        <v>98317.900606588824</v>
      </c>
      <c r="H15" s="723">
        <f t="shared" si="0"/>
        <v>0</v>
      </c>
      <c r="I15" s="723">
        <f t="shared" si="0"/>
        <v>0</v>
      </c>
      <c r="J15" s="723">
        <f t="shared" si="0"/>
        <v>0</v>
      </c>
      <c r="K15" s="723">
        <f t="shared" si="0"/>
        <v>4.8776742882087269</v>
      </c>
      <c r="L15" s="723">
        <f t="shared" si="0"/>
        <v>0</v>
      </c>
      <c r="M15" s="723">
        <f t="shared" ca="1" si="0"/>
        <v>0</v>
      </c>
      <c r="N15" s="723">
        <f t="shared" si="0"/>
        <v>0</v>
      </c>
      <c r="O15" s="723">
        <f t="shared" ca="1" si="0"/>
        <v>35998.787970934725</v>
      </c>
      <c r="P15" s="723">
        <f t="shared" si="0"/>
        <v>812.93333333333351</v>
      </c>
      <c r="Q15" s="724">
        <f t="shared" si="0"/>
        <v>2383.333333333333</v>
      </c>
      <c r="R15" s="725">
        <f ca="1">SUM(R9:R14)</f>
        <v>426995.68670446414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3132.343858842029</v>
      </c>
      <c r="I18" s="718">
        <f>transport!H54</f>
        <v>0</v>
      </c>
      <c r="J18" s="718">
        <f>transport!I54</f>
        <v>0</v>
      </c>
      <c r="K18" s="718">
        <f>transport!J54</f>
        <v>0</v>
      </c>
      <c r="L18" s="718">
        <f>transport!K54</f>
        <v>0</v>
      </c>
      <c r="M18" s="718">
        <f>transport!L54</f>
        <v>0</v>
      </c>
      <c r="N18" s="718">
        <f>transport!M54</f>
        <v>177.90330321099967</v>
      </c>
      <c r="O18" s="718">
        <f>transport!N54</f>
        <v>0</v>
      </c>
      <c r="P18" s="718">
        <f>transport!O54</f>
        <v>0</v>
      </c>
      <c r="Q18" s="719">
        <f>transport!P54</f>
        <v>0</v>
      </c>
      <c r="R18" s="721">
        <f>SUM(C18:Q18)</f>
        <v>3310.2471620530287</v>
      </c>
      <c r="S18" s="67"/>
    </row>
    <row r="19" spans="1:19" s="474" customFormat="1" ht="15" thickBot="1">
      <c r="A19" s="870" t="s">
        <v>307</v>
      </c>
      <c r="B19" s="875"/>
      <c r="C19" s="727">
        <f>transport!B14</f>
        <v>123.53160747759816</v>
      </c>
      <c r="D19" s="727">
        <f>transport!C14</f>
        <v>0</v>
      </c>
      <c r="E19" s="727">
        <f>transport!D14</f>
        <v>432.33701020146447</v>
      </c>
      <c r="F19" s="727">
        <f>transport!E14</f>
        <v>649.71926207094202</v>
      </c>
      <c r="G19" s="727">
        <f>transport!F14</f>
        <v>0</v>
      </c>
      <c r="H19" s="727">
        <f>transport!G14</f>
        <v>241224.38935284794</v>
      </c>
      <c r="I19" s="727">
        <f>transport!H14</f>
        <v>49814.814300611724</v>
      </c>
      <c r="J19" s="727">
        <f>transport!I14</f>
        <v>0</v>
      </c>
      <c r="K19" s="727">
        <f>transport!J14</f>
        <v>0</v>
      </c>
      <c r="L19" s="727">
        <f>transport!K14</f>
        <v>0</v>
      </c>
      <c r="M19" s="727">
        <f>transport!L14</f>
        <v>0</v>
      </c>
      <c r="N19" s="727">
        <f>transport!M14</f>
        <v>15572.186591828447</v>
      </c>
      <c r="O19" s="727">
        <f>transport!N14</f>
        <v>0</v>
      </c>
      <c r="P19" s="727">
        <f>transport!O14</f>
        <v>0</v>
      </c>
      <c r="Q19" s="728">
        <f>transport!P14</f>
        <v>0</v>
      </c>
      <c r="R19" s="729">
        <f>SUM(C19:Q19)</f>
        <v>307816.97812503815</v>
      </c>
      <c r="S19" s="67"/>
    </row>
    <row r="20" spans="1:19" s="474" customFormat="1" ht="15.75" thickBot="1">
      <c r="A20" s="730" t="s">
        <v>230</v>
      </c>
      <c r="B20" s="878"/>
      <c r="C20" s="873">
        <f>SUM(C17:C19)</f>
        <v>123.53160747759816</v>
      </c>
      <c r="D20" s="731">
        <f t="shared" ref="D20:R20" si="1">SUM(D17:D19)</f>
        <v>0</v>
      </c>
      <c r="E20" s="731">
        <f t="shared" si="1"/>
        <v>432.33701020146447</v>
      </c>
      <c r="F20" s="731">
        <f t="shared" si="1"/>
        <v>649.71926207094202</v>
      </c>
      <c r="G20" s="731">
        <f t="shared" si="1"/>
        <v>0</v>
      </c>
      <c r="H20" s="731">
        <f t="shared" si="1"/>
        <v>244356.73321168998</v>
      </c>
      <c r="I20" s="731">
        <f t="shared" si="1"/>
        <v>49814.814300611724</v>
      </c>
      <c r="J20" s="731">
        <f t="shared" si="1"/>
        <v>0</v>
      </c>
      <c r="K20" s="731">
        <f t="shared" si="1"/>
        <v>0</v>
      </c>
      <c r="L20" s="731">
        <f t="shared" si="1"/>
        <v>0</v>
      </c>
      <c r="M20" s="731">
        <f t="shared" si="1"/>
        <v>0</v>
      </c>
      <c r="N20" s="731">
        <f t="shared" si="1"/>
        <v>15750.089895039448</v>
      </c>
      <c r="O20" s="731">
        <f t="shared" si="1"/>
        <v>0</v>
      </c>
      <c r="P20" s="731">
        <f t="shared" si="1"/>
        <v>0</v>
      </c>
      <c r="Q20" s="732">
        <f t="shared" si="1"/>
        <v>0</v>
      </c>
      <c r="R20" s="733">
        <f t="shared" si="1"/>
        <v>311127.22528709116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234.59399999999999</v>
      </c>
      <c r="D22" s="727">
        <f>+landbouw!C8</f>
        <v>0</v>
      </c>
      <c r="E22" s="727">
        <f>+landbouw!D8</f>
        <v>0</v>
      </c>
      <c r="F22" s="727">
        <f>+landbouw!E8</f>
        <v>6.8954341927792893</v>
      </c>
      <c r="G22" s="727">
        <f>+landbouw!F8</f>
        <v>977.3059272056156</v>
      </c>
      <c r="H22" s="727">
        <f>+landbouw!G8</f>
        <v>0</v>
      </c>
      <c r="I22" s="727">
        <f>+landbouw!H8</f>
        <v>0</v>
      </c>
      <c r="J22" s="727">
        <f>+landbouw!I8</f>
        <v>0</v>
      </c>
      <c r="K22" s="727">
        <f>+landbouw!J8</f>
        <v>33.987632636181004</v>
      </c>
      <c r="L22" s="727">
        <f>+landbouw!K8</f>
        <v>0</v>
      </c>
      <c r="M22" s="727">
        <f>+landbouw!L8</f>
        <v>0</v>
      </c>
      <c r="N22" s="727">
        <f>+landbouw!M8</f>
        <v>0</v>
      </c>
      <c r="O22" s="727">
        <f>+landbouw!N8</f>
        <v>0</v>
      </c>
      <c r="P22" s="727">
        <f>+landbouw!O8</f>
        <v>0</v>
      </c>
      <c r="Q22" s="728">
        <f>+landbouw!P8</f>
        <v>0</v>
      </c>
      <c r="R22" s="729">
        <f>SUM(C22:Q22)</f>
        <v>1252.7829940345757</v>
      </c>
      <c r="S22" s="67"/>
    </row>
    <row r="23" spans="1:19" s="474" customFormat="1" ht="17.25" thickTop="1" thickBot="1">
      <c r="A23" s="734" t="s">
        <v>116</v>
      </c>
      <c r="B23" s="864"/>
      <c r="C23" s="735">
        <f ca="1">C20+C15+C22</f>
        <v>112726.99637898627</v>
      </c>
      <c r="D23" s="735">
        <f t="shared" ref="D23:Q23" ca="1" si="2">D20+D15+D22</f>
        <v>0</v>
      </c>
      <c r="E23" s="735">
        <f t="shared" ca="1" si="2"/>
        <v>168503.19869970146</v>
      </c>
      <c r="F23" s="735">
        <f t="shared" si="2"/>
        <v>9694.7360212407493</v>
      </c>
      <c r="G23" s="735">
        <f t="shared" ca="1" si="2"/>
        <v>99295.206533794437</v>
      </c>
      <c r="H23" s="735">
        <f t="shared" si="2"/>
        <v>244356.73321168998</v>
      </c>
      <c r="I23" s="735">
        <f t="shared" si="2"/>
        <v>49814.814300611724</v>
      </c>
      <c r="J23" s="735">
        <f t="shared" si="2"/>
        <v>0</v>
      </c>
      <c r="K23" s="735">
        <f t="shared" si="2"/>
        <v>38.865306924389728</v>
      </c>
      <c r="L23" s="735">
        <f t="shared" si="2"/>
        <v>0</v>
      </c>
      <c r="M23" s="735">
        <f t="shared" ca="1" si="2"/>
        <v>0</v>
      </c>
      <c r="N23" s="735">
        <f t="shared" si="2"/>
        <v>15750.089895039448</v>
      </c>
      <c r="O23" s="735">
        <f t="shared" ca="1" si="2"/>
        <v>35998.787970934725</v>
      </c>
      <c r="P23" s="735">
        <f t="shared" si="2"/>
        <v>812.93333333333351</v>
      </c>
      <c r="Q23" s="736">
        <f t="shared" si="2"/>
        <v>2383.333333333333</v>
      </c>
      <c r="R23" s="737">
        <f ca="1">R20+R15+R22</f>
        <v>739375.69498558983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8324.4469288862092</v>
      </c>
      <c r="D36" s="718">
        <f ca="1">tertiair!C20</f>
        <v>0</v>
      </c>
      <c r="E36" s="718">
        <f ca="1">tertiair!D20</f>
        <v>8687.5889000032021</v>
      </c>
      <c r="F36" s="718">
        <f>tertiair!E20</f>
        <v>155.92812198521153</v>
      </c>
      <c r="G36" s="718">
        <f ca="1">tertiair!F20</f>
        <v>2284.4617254740042</v>
      </c>
      <c r="H36" s="718">
        <f>tertiair!G20</f>
        <v>0</v>
      </c>
      <c r="I36" s="718">
        <f>tertiair!H20</f>
        <v>0</v>
      </c>
      <c r="J36" s="718">
        <f>tertiair!I20</f>
        <v>0</v>
      </c>
      <c r="K36" s="718">
        <f>tertiair!J20</f>
        <v>6.5084386204611808E-2</v>
      </c>
      <c r="L36" s="718">
        <f>tertiair!K20</f>
        <v>0</v>
      </c>
      <c r="M36" s="718">
        <f ca="1">tertiair!L20</f>
        <v>0</v>
      </c>
      <c r="N36" s="718">
        <f>tertiair!M20</f>
        <v>0</v>
      </c>
      <c r="O36" s="718">
        <f ca="1">tertiair!N20</f>
        <v>0</v>
      </c>
      <c r="P36" s="718">
        <f>tertiair!O20</f>
        <v>0</v>
      </c>
      <c r="Q36" s="828">
        <f>tertiair!P20</f>
        <v>0</v>
      </c>
      <c r="R36" s="917">
        <f ca="1">SUM(C36:Q36)</f>
        <v>19452.490760734836</v>
      </c>
    </row>
    <row r="37" spans="1:18">
      <c r="A37" s="885" t="s">
        <v>225</v>
      </c>
      <c r="B37" s="892"/>
      <c r="C37" s="718">
        <f ca="1">huishoudens!B12</f>
        <v>8777.0698858971646</v>
      </c>
      <c r="D37" s="718">
        <f ca="1">huishoudens!C12</f>
        <v>0</v>
      </c>
      <c r="E37" s="718">
        <f>huishoudens!D12</f>
        <v>18554.341896915001</v>
      </c>
      <c r="F37" s="718">
        <f>huishoudens!E12</f>
        <v>1380.9251604350779</v>
      </c>
      <c r="G37" s="718">
        <f>huishoudens!F12</f>
        <v>22051.904032919454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50764.2409761667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2267.6990873033974</v>
      </c>
      <c r="D39" s="718">
        <f ca="1">industrie!C22</f>
        <v>0</v>
      </c>
      <c r="E39" s="718">
        <f>industrie!D22</f>
        <v>6708.3832643608021</v>
      </c>
      <c r="F39" s="718">
        <f>industrie!E22</f>
        <v>514.80025834949561</v>
      </c>
      <c r="G39" s="718">
        <f>industrie!F22</f>
        <v>1914.5137035657583</v>
      </c>
      <c r="H39" s="718">
        <f>industrie!G22</f>
        <v>0</v>
      </c>
      <c r="I39" s="718">
        <f>industrie!H22</f>
        <v>0</v>
      </c>
      <c r="J39" s="718">
        <f>industrie!I22</f>
        <v>0</v>
      </c>
      <c r="K39" s="718">
        <f>industrie!J22</f>
        <v>1.6616123118212776</v>
      </c>
      <c r="L39" s="718">
        <f>industrie!K22</f>
        <v>0</v>
      </c>
      <c r="M39" s="718">
        <f>industrie!L22</f>
        <v>0</v>
      </c>
      <c r="N39" s="718">
        <f>industrie!M22</f>
        <v>0</v>
      </c>
      <c r="O39" s="718">
        <f>industrie!N22</f>
        <v>0</v>
      </c>
      <c r="P39" s="718">
        <f>industrie!O22</f>
        <v>0</v>
      </c>
      <c r="Q39" s="828">
        <f>industrie!P22</f>
        <v>0</v>
      </c>
      <c r="R39" s="918">
        <f ca="1">SUM(C39:Q39)</f>
        <v>11407.057925891277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19369.215902086773</v>
      </c>
      <c r="D41" s="763">
        <f t="shared" ref="D41:R41" ca="1" si="4">SUM(D35:D40)</f>
        <v>0</v>
      </c>
      <c r="E41" s="763">
        <f t="shared" ca="1" si="4"/>
        <v>33950.314061279008</v>
      </c>
      <c r="F41" s="763">
        <f t="shared" si="4"/>
        <v>2051.6535407697847</v>
      </c>
      <c r="G41" s="763">
        <f t="shared" ca="1" si="4"/>
        <v>26250.879461959215</v>
      </c>
      <c r="H41" s="763">
        <f t="shared" si="4"/>
        <v>0</v>
      </c>
      <c r="I41" s="763">
        <f t="shared" si="4"/>
        <v>0</v>
      </c>
      <c r="J41" s="763">
        <f t="shared" si="4"/>
        <v>0</v>
      </c>
      <c r="K41" s="763">
        <f t="shared" si="4"/>
        <v>1.7266966980258893</v>
      </c>
      <c r="L41" s="763">
        <f t="shared" si="4"/>
        <v>0</v>
      </c>
      <c r="M41" s="763">
        <f t="shared" ca="1" si="4"/>
        <v>0</v>
      </c>
      <c r="N41" s="763">
        <f t="shared" si="4"/>
        <v>0</v>
      </c>
      <c r="O41" s="763">
        <f t="shared" ca="1" si="4"/>
        <v>0</v>
      </c>
      <c r="P41" s="763">
        <f t="shared" si="4"/>
        <v>0</v>
      </c>
      <c r="Q41" s="764">
        <f t="shared" si="4"/>
        <v>0</v>
      </c>
      <c r="R41" s="765">
        <f t="shared" ca="1" si="4"/>
        <v>81623.789662792813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836.33581031082178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836.33581031082178</v>
      </c>
    </row>
    <row r="45" spans="1:18" ht="15" thickBot="1">
      <c r="A45" s="888" t="s">
        <v>307</v>
      </c>
      <c r="B45" s="898"/>
      <c r="C45" s="727">
        <f ca="1">transport!B18</f>
        <v>21.293356065050993</v>
      </c>
      <c r="D45" s="727">
        <f>transport!C18</f>
        <v>0</v>
      </c>
      <c r="E45" s="727">
        <f>transport!D18</f>
        <v>87.332076060695826</v>
      </c>
      <c r="F45" s="727">
        <f>transport!E18</f>
        <v>147.48627249010386</v>
      </c>
      <c r="G45" s="727">
        <f>transport!F18</f>
        <v>0</v>
      </c>
      <c r="H45" s="727">
        <f>transport!G18</f>
        <v>64406.911957210403</v>
      </c>
      <c r="I45" s="727">
        <f>transport!H18</f>
        <v>12403.88876085232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77066.912422678579</v>
      </c>
    </row>
    <row r="46" spans="1:18" ht="15.75" thickBot="1">
      <c r="A46" s="886" t="s">
        <v>230</v>
      </c>
      <c r="B46" s="899"/>
      <c r="C46" s="763">
        <f t="shared" ref="C46:R46" ca="1" si="5">SUM(C43:C45)</f>
        <v>21.293356065050993</v>
      </c>
      <c r="D46" s="763">
        <f t="shared" ca="1" si="5"/>
        <v>0</v>
      </c>
      <c r="E46" s="763">
        <f t="shared" si="5"/>
        <v>87.332076060695826</v>
      </c>
      <c r="F46" s="763">
        <f t="shared" si="5"/>
        <v>147.48627249010386</v>
      </c>
      <c r="G46" s="763">
        <f t="shared" si="5"/>
        <v>0</v>
      </c>
      <c r="H46" s="763">
        <f t="shared" si="5"/>
        <v>65243.247767521221</v>
      </c>
      <c r="I46" s="763">
        <f t="shared" si="5"/>
        <v>12403.88876085232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77903.248232989397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40.437372059862852</v>
      </c>
      <c r="D48" s="718">
        <f ca="1">+landbouw!C12</f>
        <v>0</v>
      </c>
      <c r="E48" s="718">
        <f>+landbouw!D12</f>
        <v>0</v>
      </c>
      <c r="F48" s="718">
        <f>+landbouw!E12</f>
        <v>1.5652635617608988</v>
      </c>
      <c r="G48" s="718">
        <f>+landbouw!F12</f>
        <v>260.94068256389937</v>
      </c>
      <c r="H48" s="718">
        <f>+landbouw!G12</f>
        <v>0</v>
      </c>
      <c r="I48" s="718">
        <f>+landbouw!H12</f>
        <v>0</v>
      </c>
      <c r="J48" s="718">
        <f>+landbouw!I12</f>
        <v>0</v>
      </c>
      <c r="K48" s="718">
        <f>+landbouw!J12</f>
        <v>12.031621953208075</v>
      </c>
      <c r="L48" s="718">
        <f>+landbouw!K12</f>
        <v>0</v>
      </c>
      <c r="M48" s="718">
        <f>+landbouw!L12</f>
        <v>0</v>
      </c>
      <c r="N48" s="718">
        <f>+landbouw!M12</f>
        <v>0</v>
      </c>
      <c r="O48" s="718">
        <f>+landbouw!N12</f>
        <v>0</v>
      </c>
      <c r="P48" s="718">
        <f>+landbouw!O12</f>
        <v>0</v>
      </c>
      <c r="Q48" s="719">
        <f>+landbouw!P12</f>
        <v>0</v>
      </c>
      <c r="R48" s="761">
        <f ca="1">SUM(C48:Q48)</f>
        <v>314.9749401387312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19430.946630211689</v>
      </c>
      <c r="D53" s="773">
        <f t="shared" ref="D53:Q53" ca="1" si="6">D41+D46+D48</f>
        <v>0</v>
      </c>
      <c r="E53" s="773">
        <f t="shared" ca="1" si="6"/>
        <v>34037.646137339703</v>
      </c>
      <c r="F53" s="773">
        <f t="shared" si="6"/>
        <v>2200.7050768216495</v>
      </c>
      <c r="G53" s="773">
        <f t="shared" ca="1" si="6"/>
        <v>26511.820144523113</v>
      </c>
      <c r="H53" s="773">
        <f t="shared" si="6"/>
        <v>65243.247767521221</v>
      </c>
      <c r="I53" s="773">
        <f t="shared" si="6"/>
        <v>12403.88876085232</v>
      </c>
      <c r="J53" s="773">
        <f t="shared" si="6"/>
        <v>0</v>
      </c>
      <c r="K53" s="773">
        <f t="shared" si="6"/>
        <v>13.758318651233965</v>
      </c>
      <c r="L53" s="773">
        <f t="shared" si="6"/>
        <v>0</v>
      </c>
      <c r="M53" s="773">
        <f t="shared" ca="1" si="6"/>
        <v>0</v>
      </c>
      <c r="N53" s="773">
        <f t="shared" si="6"/>
        <v>0</v>
      </c>
      <c r="O53" s="773">
        <f t="shared" ca="1" si="6"/>
        <v>0</v>
      </c>
      <c r="P53" s="773">
        <f>P41+P46+P48</f>
        <v>0</v>
      </c>
      <c r="Q53" s="774">
        <f t="shared" si="6"/>
        <v>0</v>
      </c>
      <c r="R53" s="775">
        <f ca="1">R41+R46+R48</f>
        <v>159842.01283592093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0.17237172331714731</v>
      </c>
      <c r="D55" s="836">
        <f t="shared" ca="1" si="7"/>
        <v>0</v>
      </c>
      <c r="E55" s="836">
        <f t="shared" ca="1" si="7"/>
        <v>0.20200000000000004</v>
      </c>
      <c r="F55" s="836">
        <f t="shared" si="7"/>
        <v>0.22699999999999995</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24804.160948164164</v>
      </c>
      <c r="C66" s="795">
        <f>'lokale energieproductie'!B6</f>
        <v>24804.160948164164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24804.160948164164</v>
      </c>
      <c r="C69" s="803">
        <f>SUM(C64:C68)</f>
        <v>24804.160948164164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50919.429921508679</v>
      </c>
      <c r="C4" s="478">
        <f>huishoudens!C8</f>
        <v>0</v>
      </c>
      <c r="D4" s="478">
        <f>huishoudens!D8</f>
        <v>91853.177707499999</v>
      </c>
      <c r="E4" s="478">
        <f>huishoudens!E8</f>
        <v>6083.3707508153211</v>
      </c>
      <c r="F4" s="478">
        <f>huishoudens!F8</f>
        <v>82591.400872357495</v>
      </c>
      <c r="G4" s="478">
        <f>huishoudens!G8</f>
        <v>0</v>
      </c>
      <c r="H4" s="478">
        <f>huishoudens!H8</f>
        <v>0</v>
      </c>
      <c r="I4" s="478">
        <f>huishoudens!I8</f>
        <v>0</v>
      </c>
      <c r="J4" s="478">
        <f>huishoudens!J8</f>
        <v>0</v>
      </c>
      <c r="K4" s="478">
        <f>huishoudens!K8</f>
        <v>0</v>
      </c>
      <c r="L4" s="478">
        <f>huishoudens!L8</f>
        <v>0</v>
      </c>
      <c r="M4" s="478">
        <f>huishoudens!M8</f>
        <v>0</v>
      </c>
      <c r="N4" s="478">
        <f>huishoudens!N8</f>
        <v>25425.789108586236</v>
      </c>
      <c r="O4" s="478">
        <f>huishoudens!O8</f>
        <v>806.68000000000018</v>
      </c>
      <c r="P4" s="479">
        <f>huishoudens!P8</f>
        <v>2192.6666666666665</v>
      </c>
      <c r="Q4" s="480">
        <f>SUM(B4:P4)</f>
        <v>259872.51502743439</v>
      </c>
    </row>
    <row r="5" spans="1:17">
      <c r="A5" s="477" t="s">
        <v>156</v>
      </c>
      <c r="B5" s="478">
        <f ca="1">tertiair!B16</f>
        <v>46361.997049999998</v>
      </c>
      <c r="C5" s="478">
        <f ca="1">tertiair!C16</f>
        <v>0</v>
      </c>
      <c r="D5" s="478">
        <f ca="1">tertiair!D16</f>
        <v>43007.865841600003</v>
      </c>
      <c r="E5" s="478">
        <f>tertiair!E16</f>
        <v>686.90802636657065</v>
      </c>
      <c r="F5" s="478">
        <f ca="1">tertiair!F16</f>
        <v>8556.0364249962695</v>
      </c>
      <c r="G5" s="478">
        <f>tertiair!G16</f>
        <v>0</v>
      </c>
      <c r="H5" s="478">
        <f>tertiair!H16</f>
        <v>0</v>
      </c>
      <c r="I5" s="478">
        <f>tertiair!I16</f>
        <v>0</v>
      </c>
      <c r="J5" s="478">
        <f>tertiair!J16</f>
        <v>0.18385419831811248</v>
      </c>
      <c r="K5" s="478">
        <f>tertiair!K16</f>
        <v>0</v>
      </c>
      <c r="L5" s="478">
        <f ca="1">tertiair!L16</f>
        <v>0</v>
      </c>
      <c r="M5" s="478">
        <f>tertiair!M16</f>
        <v>0</v>
      </c>
      <c r="N5" s="478">
        <f ca="1">tertiair!N16</f>
        <v>7342.0271852448286</v>
      </c>
      <c r="O5" s="478">
        <f>tertiair!O16</f>
        <v>6.2533333333333339</v>
      </c>
      <c r="P5" s="479">
        <f>tertiair!P16</f>
        <v>190.66666666666669</v>
      </c>
      <c r="Q5" s="477">
        <f t="shared" ref="Q5:Q13" ca="1" si="0">SUM(B5:P5)</f>
        <v>106151.93838240599</v>
      </c>
    </row>
    <row r="6" spans="1:17">
      <c r="A6" s="477" t="s">
        <v>194</v>
      </c>
      <c r="B6" s="478">
        <f>'openbare verlichting'!B8</f>
        <v>1931.579</v>
      </c>
      <c r="C6" s="478"/>
      <c r="D6" s="478"/>
      <c r="E6" s="478"/>
      <c r="F6" s="478"/>
      <c r="G6" s="478"/>
      <c r="H6" s="478"/>
      <c r="I6" s="478"/>
      <c r="J6" s="478"/>
      <c r="K6" s="478"/>
      <c r="L6" s="478"/>
      <c r="M6" s="478"/>
      <c r="N6" s="478"/>
      <c r="O6" s="478"/>
      <c r="P6" s="479"/>
      <c r="Q6" s="477">
        <f t="shared" si="0"/>
        <v>1931.579</v>
      </c>
    </row>
    <row r="7" spans="1:17">
      <c r="A7" s="477" t="s">
        <v>112</v>
      </c>
      <c r="B7" s="478">
        <f>landbouw!B8</f>
        <v>234.59399999999999</v>
      </c>
      <c r="C7" s="478">
        <f>landbouw!C8</f>
        <v>0</v>
      </c>
      <c r="D7" s="478">
        <f>landbouw!D8</f>
        <v>0</v>
      </c>
      <c r="E7" s="478">
        <f>landbouw!E8</f>
        <v>6.8954341927792893</v>
      </c>
      <c r="F7" s="478">
        <f>landbouw!F8</f>
        <v>977.3059272056156</v>
      </c>
      <c r="G7" s="478">
        <f>landbouw!G8</f>
        <v>0</v>
      </c>
      <c r="H7" s="478">
        <f>landbouw!H8</f>
        <v>0</v>
      </c>
      <c r="I7" s="478">
        <f>landbouw!I8</f>
        <v>0</v>
      </c>
      <c r="J7" s="478">
        <f>landbouw!J8</f>
        <v>33.987632636181004</v>
      </c>
      <c r="K7" s="478">
        <f>landbouw!K8</f>
        <v>0</v>
      </c>
      <c r="L7" s="478">
        <f>landbouw!L8</f>
        <v>0</v>
      </c>
      <c r="M7" s="478">
        <f>landbouw!M8</f>
        <v>0</v>
      </c>
      <c r="N7" s="478">
        <f>landbouw!N8</f>
        <v>0</v>
      </c>
      <c r="O7" s="478">
        <f>landbouw!O8</f>
        <v>0</v>
      </c>
      <c r="P7" s="479">
        <f>landbouw!P8</f>
        <v>0</v>
      </c>
      <c r="Q7" s="477">
        <f t="shared" si="0"/>
        <v>1252.7829940345757</v>
      </c>
    </row>
    <row r="8" spans="1:17">
      <c r="A8" s="477" t="s">
        <v>635</v>
      </c>
      <c r="B8" s="478">
        <f>industrie!B18</f>
        <v>13155.864800000001</v>
      </c>
      <c r="C8" s="478">
        <f>industrie!C18</f>
        <v>0</v>
      </c>
      <c r="D8" s="478">
        <f>industrie!D18</f>
        <v>33209.818140400006</v>
      </c>
      <c r="E8" s="478">
        <f>industrie!E18</f>
        <v>2267.8425477951346</v>
      </c>
      <c r="F8" s="478">
        <f>industrie!F18</f>
        <v>7170.4633092350496</v>
      </c>
      <c r="G8" s="478">
        <f>industrie!G18</f>
        <v>0</v>
      </c>
      <c r="H8" s="478">
        <f>industrie!H18</f>
        <v>0</v>
      </c>
      <c r="I8" s="478">
        <f>industrie!I18</f>
        <v>0</v>
      </c>
      <c r="J8" s="478">
        <f>industrie!J18</f>
        <v>4.6938200898906146</v>
      </c>
      <c r="K8" s="478">
        <f>industrie!K18</f>
        <v>0</v>
      </c>
      <c r="L8" s="478">
        <f>industrie!L18</f>
        <v>0</v>
      </c>
      <c r="M8" s="478">
        <f>industrie!M18</f>
        <v>0</v>
      </c>
      <c r="N8" s="478">
        <f>industrie!N18</f>
        <v>3230.9716771036624</v>
      </c>
      <c r="O8" s="478">
        <f>industrie!O18</f>
        <v>0</v>
      </c>
      <c r="P8" s="479">
        <f>industrie!P18</f>
        <v>0</v>
      </c>
      <c r="Q8" s="477">
        <f t="shared" si="0"/>
        <v>59039.654294623739</v>
      </c>
    </row>
    <row r="9" spans="1:17" s="483" customFormat="1">
      <c r="A9" s="481" t="s">
        <v>561</v>
      </c>
      <c r="B9" s="482">
        <f>transport!B14</f>
        <v>123.53160747759816</v>
      </c>
      <c r="C9" s="482">
        <f>transport!C14</f>
        <v>0</v>
      </c>
      <c r="D9" s="482">
        <f>transport!D14</f>
        <v>432.33701020146447</v>
      </c>
      <c r="E9" s="482">
        <f>transport!E14</f>
        <v>649.71926207094202</v>
      </c>
      <c r="F9" s="482">
        <f>transport!F14</f>
        <v>0</v>
      </c>
      <c r="G9" s="482">
        <f>transport!G14</f>
        <v>241224.38935284794</v>
      </c>
      <c r="H9" s="482">
        <f>transport!H14</f>
        <v>49814.814300611724</v>
      </c>
      <c r="I9" s="482">
        <f>transport!I14</f>
        <v>0</v>
      </c>
      <c r="J9" s="482">
        <f>transport!J14</f>
        <v>0</v>
      </c>
      <c r="K9" s="482">
        <f>transport!K14</f>
        <v>0</v>
      </c>
      <c r="L9" s="482">
        <f>transport!L14</f>
        <v>0</v>
      </c>
      <c r="M9" s="482">
        <f>transport!M14</f>
        <v>15572.186591828447</v>
      </c>
      <c r="N9" s="482">
        <f>transport!N14</f>
        <v>0</v>
      </c>
      <c r="O9" s="482">
        <f>transport!O14</f>
        <v>0</v>
      </c>
      <c r="P9" s="482">
        <f>transport!P14</f>
        <v>0</v>
      </c>
      <c r="Q9" s="481">
        <f>SUM(B9:P9)</f>
        <v>307816.97812503815</v>
      </c>
    </row>
    <row r="10" spans="1:17">
      <c r="A10" s="477" t="s">
        <v>551</v>
      </c>
      <c r="B10" s="478">
        <f>transport!B54</f>
        <v>0</v>
      </c>
      <c r="C10" s="478">
        <f>transport!C54</f>
        <v>0</v>
      </c>
      <c r="D10" s="478">
        <f>transport!D54</f>
        <v>0</v>
      </c>
      <c r="E10" s="478">
        <f>transport!E54</f>
        <v>0</v>
      </c>
      <c r="F10" s="478">
        <f>transport!F54</f>
        <v>0</v>
      </c>
      <c r="G10" s="478">
        <f>transport!G54</f>
        <v>3132.343858842029</v>
      </c>
      <c r="H10" s="478">
        <f>transport!H54</f>
        <v>0</v>
      </c>
      <c r="I10" s="478">
        <f>transport!I54</f>
        <v>0</v>
      </c>
      <c r="J10" s="478">
        <f>transport!J54</f>
        <v>0</v>
      </c>
      <c r="K10" s="478">
        <f>transport!K54</f>
        <v>0</v>
      </c>
      <c r="L10" s="478">
        <f>transport!L54</f>
        <v>0</v>
      </c>
      <c r="M10" s="478">
        <f>transport!M54</f>
        <v>177.90330321099967</v>
      </c>
      <c r="N10" s="478">
        <f>transport!N54</f>
        <v>0</v>
      </c>
      <c r="O10" s="478">
        <f>transport!O54</f>
        <v>0</v>
      </c>
      <c r="P10" s="479">
        <f>transport!P54</f>
        <v>0</v>
      </c>
      <c r="Q10" s="477">
        <f t="shared" si="0"/>
        <v>3310.2471620530287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112726.99637898627</v>
      </c>
      <c r="C14" s="488">
        <f t="shared" ref="C14:Q14" ca="1" si="1">SUM(C4:C13)</f>
        <v>0</v>
      </c>
      <c r="D14" s="488">
        <f t="shared" ca="1" si="1"/>
        <v>168503.19869970146</v>
      </c>
      <c r="E14" s="488">
        <f t="shared" si="1"/>
        <v>9694.7360212407475</v>
      </c>
      <c r="F14" s="488">
        <f t="shared" ca="1" si="1"/>
        <v>99295.206533794437</v>
      </c>
      <c r="G14" s="488">
        <f t="shared" si="1"/>
        <v>244356.73321168998</v>
      </c>
      <c r="H14" s="488">
        <f t="shared" si="1"/>
        <v>49814.814300611724</v>
      </c>
      <c r="I14" s="488">
        <f t="shared" si="1"/>
        <v>0</v>
      </c>
      <c r="J14" s="488">
        <f t="shared" si="1"/>
        <v>38.865306924389735</v>
      </c>
      <c r="K14" s="488">
        <f t="shared" si="1"/>
        <v>0</v>
      </c>
      <c r="L14" s="488">
        <f t="shared" ca="1" si="1"/>
        <v>0</v>
      </c>
      <c r="M14" s="488">
        <f t="shared" si="1"/>
        <v>15750.089895039448</v>
      </c>
      <c r="N14" s="488">
        <f t="shared" ca="1" si="1"/>
        <v>35998.787970934725</v>
      </c>
      <c r="O14" s="488">
        <f t="shared" si="1"/>
        <v>812.93333333333351</v>
      </c>
      <c r="P14" s="489">
        <f t="shared" si="1"/>
        <v>2383.333333333333</v>
      </c>
      <c r="Q14" s="489">
        <f t="shared" ca="1" si="1"/>
        <v>739375.69498558983</v>
      </c>
    </row>
    <row r="16" spans="1:17">
      <c r="A16" s="491" t="s">
        <v>556</v>
      </c>
      <c r="B16" s="841">
        <f ca="1">huishoudens!B10</f>
        <v>0.17237172331714729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8777.0698858971646</v>
      </c>
      <c r="C21" s="478">
        <f t="shared" ref="C21:C30" ca="1" si="3">C4*$C$16</f>
        <v>0</v>
      </c>
      <c r="D21" s="478">
        <f t="shared" ref="D21:D30" si="4">D4*$D$16</f>
        <v>18554.341896915001</v>
      </c>
      <c r="E21" s="478">
        <f t="shared" ref="E21:E30" si="5">E4*$E$16</f>
        <v>1380.9251604350779</v>
      </c>
      <c r="F21" s="478">
        <f t="shared" ref="F21:F30" si="6">F4*$F$16</f>
        <v>22051.904032919454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50764.2409761667</v>
      </c>
    </row>
    <row r="22" spans="1:17">
      <c r="A22" s="477" t="s">
        <v>156</v>
      </c>
      <c r="B22" s="478">
        <f t="shared" ca="1" si="2"/>
        <v>7991.4973279329979</v>
      </c>
      <c r="C22" s="478">
        <f t="shared" ca="1" si="3"/>
        <v>0</v>
      </c>
      <c r="D22" s="478">
        <f t="shared" ca="1" si="4"/>
        <v>8687.5889000032021</v>
      </c>
      <c r="E22" s="478">
        <f t="shared" si="5"/>
        <v>155.92812198521153</v>
      </c>
      <c r="F22" s="478">
        <f t="shared" ca="1" si="6"/>
        <v>2284.4617254740042</v>
      </c>
      <c r="G22" s="478">
        <f t="shared" si="7"/>
        <v>0</v>
      </c>
      <c r="H22" s="478">
        <f t="shared" si="8"/>
        <v>0</v>
      </c>
      <c r="I22" s="478">
        <f t="shared" si="9"/>
        <v>0</v>
      </c>
      <c r="J22" s="478">
        <f t="shared" si="10"/>
        <v>6.5084386204611808E-2</v>
      </c>
      <c r="K22" s="478">
        <f t="shared" si="11"/>
        <v>0</v>
      </c>
      <c r="L22" s="478">
        <f t="shared" ca="1" si="12"/>
        <v>0</v>
      </c>
      <c r="M22" s="478">
        <f t="shared" si="13"/>
        <v>0</v>
      </c>
      <c r="N22" s="478">
        <f t="shared" ca="1" si="14"/>
        <v>0</v>
      </c>
      <c r="O22" s="478">
        <f t="shared" si="15"/>
        <v>0</v>
      </c>
      <c r="P22" s="479">
        <f t="shared" si="16"/>
        <v>0</v>
      </c>
      <c r="Q22" s="477">
        <f t="shared" ref="Q22:Q30" ca="1" si="17">SUM(B22:P22)</f>
        <v>19119.541159781624</v>
      </c>
    </row>
    <row r="23" spans="1:17">
      <c r="A23" s="477" t="s">
        <v>194</v>
      </c>
      <c r="B23" s="478">
        <f t="shared" ca="1" si="2"/>
        <v>332.94960095321204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332.94960095321204</v>
      </c>
    </row>
    <row r="24" spans="1:17">
      <c r="A24" s="477" t="s">
        <v>112</v>
      </c>
      <c r="B24" s="478">
        <f t="shared" ca="1" si="2"/>
        <v>40.437372059862852</v>
      </c>
      <c r="C24" s="478">
        <f t="shared" ca="1" si="3"/>
        <v>0</v>
      </c>
      <c r="D24" s="478">
        <f t="shared" si="4"/>
        <v>0</v>
      </c>
      <c r="E24" s="478">
        <f t="shared" si="5"/>
        <v>1.5652635617608988</v>
      </c>
      <c r="F24" s="478">
        <f t="shared" si="6"/>
        <v>260.94068256389937</v>
      </c>
      <c r="G24" s="478">
        <f t="shared" si="7"/>
        <v>0</v>
      </c>
      <c r="H24" s="478">
        <f t="shared" si="8"/>
        <v>0</v>
      </c>
      <c r="I24" s="478">
        <f t="shared" si="9"/>
        <v>0</v>
      </c>
      <c r="J24" s="478">
        <f t="shared" si="10"/>
        <v>12.031621953208075</v>
      </c>
      <c r="K24" s="478">
        <f t="shared" si="11"/>
        <v>0</v>
      </c>
      <c r="L24" s="478">
        <f t="shared" si="12"/>
        <v>0</v>
      </c>
      <c r="M24" s="478">
        <f t="shared" si="13"/>
        <v>0</v>
      </c>
      <c r="N24" s="478">
        <f t="shared" si="14"/>
        <v>0</v>
      </c>
      <c r="O24" s="478">
        <f t="shared" si="15"/>
        <v>0</v>
      </c>
      <c r="P24" s="479">
        <f t="shared" si="16"/>
        <v>0</v>
      </c>
      <c r="Q24" s="477">
        <f t="shared" ca="1" si="17"/>
        <v>314.9749401387312</v>
      </c>
    </row>
    <row r="25" spans="1:17">
      <c r="A25" s="477" t="s">
        <v>635</v>
      </c>
      <c r="B25" s="478">
        <f t="shared" ca="1" si="2"/>
        <v>2267.6990873033974</v>
      </c>
      <c r="C25" s="478">
        <f t="shared" ca="1" si="3"/>
        <v>0</v>
      </c>
      <c r="D25" s="478">
        <f t="shared" si="4"/>
        <v>6708.3832643608021</v>
      </c>
      <c r="E25" s="478">
        <f t="shared" si="5"/>
        <v>514.80025834949561</v>
      </c>
      <c r="F25" s="478">
        <f t="shared" si="6"/>
        <v>1914.5137035657583</v>
      </c>
      <c r="G25" s="478">
        <f t="shared" si="7"/>
        <v>0</v>
      </c>
      <c r="H25" s="478">
        <f t="shared" si="8"/>
        <v>0</v>
      </c>
      <c r="I25" s="478">
        <f t="shared" si="9"/>
        <v>0</v>
      </c>
      <c r="J25" s="478">
        <f t="shared" si="10"/>
        <v>1.6616123118212776</v>
      </c>
      <c r="K25" s="478">
        <f t="shared" si="11"/>
        <v>0</v>
      </c>
      <c r="L25" s="478">
        <f t="shared" si="12"/>
        <v>0</v>
      </c>
      <c r="M25" s="478">
        <f t="shared" si="13"/>
        <v>0</v>
      </c>
      <c r="N25" s="478">
        <f t="shared" si="14"/>
        <v>0</v>
      </c>
      <c r="O25" s="478">
        <f t="shared" si="15"/>
        <v>0</v>
      </c>
      <c r="P25" s="479">
        <f t="shared" si="16"/>
        <v>0</v>
      </c>
      <c r="Q25" s="477">
        <f t="shared" ca="1" si="17"/>
        <v>11407.057925891277</v>
      </c>
    </row>
    <row r="26" spans="1:17" s="483" customFormat="1">
      <c r="A26" s="481" t="s">
        <v>561</v>
      </c>
      <c r="B26" s="835">
        <f t="shared" ca="1" si="2"/>
        <v>21.293356065050993</v>
      </c>
      <c r="C26" s="482">
        <f t="shared" ca="1" si="3"/>
        <v>0</v>
      </c>
      <c r="D26" s="482">
        <f t="shared" si="4"/>
        <v>87.332076060695826</v>
      </c>
      <c r="E26" s="482">
        <f t="shared" si="5"/>
        <v>147.48627249010386</v>
      </c>
      <c r="F26" s="482">
        <f t="shared" si="6"/>
        <v>0</v>
      </c>
      <c r="G26" s="482">
        <f t="shared" si="7"/>
        <v>64406.911957210403</v>
      </c>
      <c r="H26" s="482">
        <f t="shared" si="8"/>
        <v>12403.88876085232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77066.912422678579</v>
      </c>
    </row>
    <row r="27" spans="1:17">
      <c r="A27" s="477" t="s">
        <v>551</v>
      </c>
      <c r="B27" s="478">
        <f t="shared" ca="1" si="2"/>
        <v>0</v>
      </c>
      <c r="C27" s="478">
        <f t="shared" ca="1" si="3"/>
        <v>0</v>
      </c>
      <c r="D27" s="478">
        <f t="shared" si="4"/>
        <v>0</v>
      </c>
      <c r="E27" s="478">
        <f t="shared" si="5"/>
        <v>0</v>
      </c>
      <c r="F27" s="478">
        <f t="shared" si="6"/>
        <v>0</v>
      </c>
      <c r="G27" s="478">
        <f t="shared" si="7"/>
        <v>836.33581031082178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836.33581031082178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19430.946630211689</v>
      </c>
      <c r="C31" s="488">
        <f t="shared" ca="1" si="18"/>
        <v>0</v>
      </c>
      <c r="D31" s="488">
        <f t="shared" ca="1" si="18"/>
        <v>34037.646137339703</v>
      </c>
      <c r="E31" s="488">
        <f t="shared" si="18"/>
        <v>2200.70507682165</v>
      </c>
      <c r="F31" s="488">
        <f t="shared" ca="1" si="18"/>
        <v>26511.820144523113</v>
      </c>
      <c r="G31" s="488">
        <f t="shared" si="18"/>
        <v>65243.247767521221</v>
      </c>
      <c r="H31" s="488">
        <f t="shared" si="18"/>
        <v>12403.88876085232</v>
      </c>
      <c r="I31" s="488">
        <f t="shared" si="18"/>
        <v>0</v>
      </c>
      <c r="J31" s="488">
        <f t="shared" si="18"/>
        <v>13.758318651233965</v>
      </c>
      <c r="K31" s="488">
        <f t="shared" si="18"/>
        <v>0</v>
      </c>
      <c r="L31" s="488">
        <f t="shared" ca="1" si="18"/>
        <v>0</v>
      </c>
      <c r="M31" s="488">
        <f t="shared" si="18"/>
        <v>0</v>
      </c>
      <c r="N31" s="488">
        <f t="shared" ca="1" si="18"/>
        <v>0</v>
      </c>
      <c r="O31" s="488">
        <f t="shared" si="18"/>
        <v>0</v>
      </c>
      <c r="P31" s="489">
        <f t="shared" si="18"/>
        <v>0</v>
      </c>
      <c r="Q31" s="489">
        <f t="shared" ca="1" si="18"/>
        <v>159842.01283592093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0.17237172331714729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0.17237172331714729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0.17237172331714729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2018-09-06T12:49:15Z</dcterms:modified>
</cp:coreProperties>
</file>