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12" i="17"/>
  <c r="F48" i="14" s="1"/>
  <c r="E7" i="48"/>
  <c r="E2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<sst xmlns="http://schemas.openxmlformats.org/spreadsheetml/2006/main" count="1914" uniqueCount="809">
  <si>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</si>
  <si>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</si>
  <si>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</si>
  <si>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</si>
  <si>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</si>
  <si>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</si>
  <si>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</si>
  <si>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</si>
  <si>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</si>
  <si>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</si>
  <si>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</si>
  <si>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</si>
  <si>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</si>
  <si>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</si>
  <si>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</si>
  <si>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</si>
  <si>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</si>
  <si>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</si>
  <si>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</si>
  <si>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</si>
  <si>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</si>
  <si>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</si>
  <si>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</si>
  <si>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</si>
  <si>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</si>
  <si>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</si>
  <si>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</si>
  <si>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</si>
  <si>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</si>
  <si>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</si>
  <si>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</si>
  <si>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</si>
  <si>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</si>
  <si>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</si>
  <si>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</si>
  <si>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</si>
  <si>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</si>
  <si>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</si>
  <si>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</si>
  <si>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</si>
  <si>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</si>
  <si>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</si>
  <si>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</si>
  <si>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</si>
  <si>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</si>
  <si>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</si>
  <si>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</si>
  <si>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</si>
  <si>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</si>
  <si>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</si>
  <si>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</si>
  <si>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</si>
  <si>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</si>
  <si>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</si>
  <si>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</si>
  <si>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</si>
  <si>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</si>
  <si>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</si>
  <si>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</si>
  <si>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</si>
  <si>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</si>
  <si>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</si>
  <si>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</si>
  <si>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</si>
  <si>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</si>
  <si>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</si>
  <si>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</si>
  <si>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</si>
  <si>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</si>
  <si>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</si>
  <si>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</si>
  <si>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</si>
  <si>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</si>
  <si>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</si>
  <si>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</si>
  <si>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</si>
  <si>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</si>
  <si>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</si>
  <si>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</si>
  <si>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</si>
  <si>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</si>
  <si>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</si>
  <si>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</si>
  <si>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</si>
  <si>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</si>
  <si>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</si>
  <si>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</si>
  <si>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</si>
  <si>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</si>
  <si>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</si>
  <si>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</si>
  <si>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</si>
  <si>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</si>
  <si>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</si>
  <si>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</si>
  <si>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</si>
  <si>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</si>
  <si>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</si>
  <si>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</si>
  <si>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</si>
  <si>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</si>
  <si>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</si>
  <si>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</si>
  <si>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</si>
  <si>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</si>
  <si>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</si>
  <si>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</si>
  <si>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</si>
  <si>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</si>
  <si>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</si>
  <si>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</si>
  <si>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</si>
  <si>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</si>
  <si>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</si>
  <si>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</si>
  <si>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</si>
  <si>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</si>
  <si>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</si>
  <si>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</si>
  <si>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</si>
  <si>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</si>
  <si>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</si>
  <si>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</si>
  <si>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</si>
  <si>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</si>
  <si>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</si>
  <si>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</si>
  <si>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</si>
  <si>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</si>
  <si>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</si>
  <si>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</si>
  <si>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</si>
  <si>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</si>
  <si>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</si>
  <si>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</si>
  <si>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</si>
  <si>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</si>
  <si>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</si>
  <si>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</si>
  <si>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</si>
  <si>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</si>
  <si>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</si>
  <si>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</si>
  <si>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</si>
  <si>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</si>
  <si>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</si>
  <si>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</si>
  <si>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</si>
  <si>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</si>
  <si>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</si>
  <si>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</si>
  <si>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</si>
  <si>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</si>
  <si>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</si>
  <si>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</si>
  <si>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</si>
  <si>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</si>
  <si>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</si>
  <si>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</si>
  <si>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</si>
  <si>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</si>
  <si>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</si>
  <si>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</si>
  <si>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</si>
  <si>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</si>
  <si>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</si>
  <si>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</si>
  <si>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</si>
  <si>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</si>
  <si>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</si>
  <si>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</si>
  <si>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</si>
  <si>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</si>
  <si>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</si>
  <si>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</si>
  <si>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</si>
  <si>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</si>
  <si>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</si>
  <si>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</si>
  <si>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</si>
  <si>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</si>
  <si>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</si>
  <si>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</si>
  <si>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</si>
  <si>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</si>
  <si>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</si>
  <si>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</si>
  <si>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</si>
  <si>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</si>
  <si>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</si>
  <si>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</si>
  <si>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</si>
  <si>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</si>
  <si>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</si>
  <si>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</si>
  <si>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</si>
  <si>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</si>
  <si>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</si>
  <si>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</si>
  <si>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</si>
  <si>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</si>
  <si>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</si>
  <si>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</si>
  <si>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</si>
  <si>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</si>
  <si>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</si>
  <si>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</si>
  <si>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</si>
  <si>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</si>
  <si>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</si>
  <si>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</si>
  <si>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</si>
  <si>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</si>
  <si>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</si>
  <si>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</si>
  <si>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</si>
  <si>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</si>
  <si>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</si>
  <si>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</si>
  <si>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</si>
  <si>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</si>
  <si>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</si>
  <si>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</si>
  <si>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</si>
  <si>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</si>
  <si>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</si>
  <si>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</si>
  <si>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</si>
  <si>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</si>
  <si>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</si>
  <si>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</si>
  <si>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</si>
  <si>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</si>
  <si>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</si>
  <si>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</si>
  <si>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</si>
  <si>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</si>
  <si>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</si>
  <si>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</si>
  <si>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</si>
  <si>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</si>
  <si>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</si>
  <si>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</si>
  <si>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</si>
  <si>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</si>
  <si>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</si>
  <si>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</si>
  <si>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</si>
  <si>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</si>
  <si>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</si>
  <si>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</si>
  <si>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</si>
  <si>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</si>
  <si>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</si>
  <si>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</si>
  <si>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</si>
  <si>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</si>
  <si>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</si>
  <si>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</si>
  <si>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</si>
  <si>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</si>
  <si>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</si>
  <si>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</si>
  <si>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</si>
  <si>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</si>
  <si>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</si>
  <si>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</si>
  <si>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</si>
  <si>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</si>
  <si>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</si>
  <si>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</si>
  <si>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</si>
  <si>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</si>
  <si>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</si>
  <si>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</si>
  <si>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</si>
  <si>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</si>
  <si>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</si>
  <si>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</si>
  <si>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</si>
  <si>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</si>
  <si>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</si>
  <si>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</si>
  <si>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</si>
  <si>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</si>
  <si>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</si>
  <si>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</si>
  <si>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</si>
  <si>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</si>
  <si>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</si>
  <si>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</si>
  <si>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</si>
  <si>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</si>
  <si>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</si>
  <si>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</si>
  <si>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</si>
  <si>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</si>
  <si>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</si>
  <si>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</si>
  <si>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</si>
  <si>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</si>
  <si>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</si>
  <si>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</si>
  <si>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</si>
  <si>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</si>
  <si>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</si>
  <si>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</si>
  <si>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</si>
  <si>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</si>
  <si>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</si>
  <si>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</si>
  <si>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</si>
  <si>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</si>
  <si>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</si>
  <si>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</si>
  <si>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</si>
  <si>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</si>
  <si>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</si>
  <si>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</si>
  <si>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</si>
  <si>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</si>
  <si>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</si>
  <si>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</si>
  <si>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</si>
  <si>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</si>
  <si>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</si>
  <si>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</si>
  <si>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</si>
  <si>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</si>
  <si>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</si>
  <si>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</si>
  <si>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</si>
  <si>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</si>
  <si>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</si>
  <si>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</si>
  <si>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</si>
  <si>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</si>
  <si>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</si>
  <si>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</si>
  <si>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</si>
  <si>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</si>
  <si>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</si>
  <si>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</si>
  <si>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</si>
  <si>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</si>
  <si>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</si>
  <si>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</si>
  <si>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</si>
  <si>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</si>
  <si>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</si>
  <si>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</si>
  <si>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</si>
  <si>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</si>
  <si>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</si>
  <si>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</si>
  <si>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</si>
  <si>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</si>
  <si>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</si>
  <si>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</si>
  <si>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</si>
  <si>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</si>
  <si>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</si>
  <si>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</si>
  <si>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</si>
  <si>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</si>
  <si>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</si>
  <si>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</si>
  <si>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</si>
  <si>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</si>
  <si>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</si>
  <si>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</si>
  <si>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</si>
  <si>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</si>
  <si>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</si>
  <si>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</si>
  <si>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</si>
  <si>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</si>
  <si>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</si>
  <si>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</si>
  <si>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</si>
  <si>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</si>
  <si>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</si>
  <si>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</si>
  <si>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</si>
  <si>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</si>
  <si>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</si>
  <si>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</si>
  <si>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</si>
  <si>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</si>
  <si>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</si>
  <si>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</si>
  <si>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</si>
  <si>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</si>
  <si>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</si>
  <si>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</si>
  <si>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</si>
  <si>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</si>
  <si>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</si>
  <si>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</si>
  <si>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</si>
  <si>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</si>
  <si>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</si>
  <si>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</si>
  <si>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</si>
  <si>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</si>
  <si>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</si>
  <si>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</si>
  <si>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</si>
  <si>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</si>
  <si>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</si>
  <si>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</si>
  <si>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</si>
  <si>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</si>
  <si>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</si>
  <si>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</si>
  <si>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</si>
  <si>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</si>
  <si>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</si>
  <si>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</si>
  <si>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</si>
  <si>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</si>
  <si>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</si>
  <si>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</si>
  <si>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</si>
  <si>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</si>
  <si>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</si>
  <si>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</si>
  <si>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</si>
  <si>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</si>
  <si>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</si>
  <si>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</si>
  <si>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</si>
  <si>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</si>
  <si>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</si>
  <si>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</si>
  <si>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</si>
  <si>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</si>
  <si>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</si>
  <si>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</si>
  <si>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</si>
  <si>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</si>
  <si>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</si>
  <si>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</si>
  <si>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</si>
  <si>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</si>
  <si>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</si>
  <si>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</si>
  <si>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</si>
  <si>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</si>
  <si>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</si>
  <si>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</si>
  <si>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</si>
  <si>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</si>
  <si>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</si>
  <si>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</si>
  <si>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</si>
  <si>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</si>
  <si>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</si>
  <si>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</si>
  <si>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</si>
  <si>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</si>
  <si>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</si>
  <si>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</si>
  <si>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</si>
  <si>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</si>
  <si>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</si>
  <si>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</si>
  <si>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</si>
  <si>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</si>
  <si>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</si>
  <si>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</si>
  <si>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</si>
  <si>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</si>
  <si>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</si>
  <si>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</si>
  <si>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</si>
  <si>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</si>
  <si>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</si>
  <si>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</si>
  <si>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</si>
  <si>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</si>
  <si>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</si>
  <si>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</si>
  <si>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</si>
  <si>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</si>
  <si>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</si>
  <si>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</si>
  <si>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</si>
  <si>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</si>
  <si>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</si>
  <si>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</si>
  <si>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</si>
  <si>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</si>
  <si>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</si>
  <si>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</si>
  <si>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</si>
  <si>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</si>
  <si>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</si>
  <si>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</si>
  <si>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</si>
  <si>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</si>
  <si>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</si>
  <si>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</si>
  <si>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</si>
  <si>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</si>
  <si>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</si>
  <si>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</si>
  <si>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</si>
  <si>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</si>
  <si>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</si>
  <si>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</si>
  <si>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</si>
  <si>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</si>
  <si>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</si>
  <si>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</si>
  <si>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</si>
  <si>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</si>
  <si>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</si>
  <si>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</si>
  <si>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</si>
  <si>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</si>
  <si>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</si>
  <si>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</si>
  <si>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</si>
  <si>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</si>
  <si>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</si>
  <si>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</si>
  <si>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</si>
  <si>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</si>
  <si>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</si>
  <si>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</si>
  <si>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</si>
  <si>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</si>
  <si>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</si>
  <si>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</si>
  <si>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</si>
  <si>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</si>
  <si>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</si>
  <si>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</si>
  <si>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</si>
  <si>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</si>
  <si>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</si>
  <si>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</si>
  <si>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</si>
  <si>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</si>
  <si>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</si>
  <si>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</si>
  <si>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</si>
  <si>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</si>
  <si>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</si>
  <si>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</si>
  <si>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</si>
  <si>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</si>
  <si>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</si>
  <si>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</si>
  <si>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</si>
  <si>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</si>
  <si>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</si>
  <si>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</si>
  <si>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</si>
  <si>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</si>
  <si>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</si>
  <si>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</si>
  <si>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</si>
  <si>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</si>
  <si>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</si>
  <si>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</si>
  <si>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</si>
  <si>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</si>
  <si>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</si>
  <si>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</si>
  <si>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</si>
  <si>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</si>
  <si>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</si>
  <si>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</si>
  <si>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</si>
  <si>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</si>
  <si>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</si>
  <si>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</si>
  <si>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</si>
  <si>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</si>
  <si>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</si>
  <si>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</si>
  <si>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</si>
  <si>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</si>
  <si>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</si>
  <si>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</si>
  <si>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</si>
  <si>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</si>
  <si>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</si>
  <si>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</si>
  <si>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</si>
  <si>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</si>
  <si>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</si>
  <si>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</si>
  <si>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</si>
  <si>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</si>
  <si>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</si>
  <si>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</si>
  <si>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</si>
  <si>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</si>
  <si>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</si>
  <si>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</si>
  <si>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</si>
  <si>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</si>
  <si>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</si>
  <si>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</si>
  <si>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</si>
  <si>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</si>
  <si>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</si>
  <si>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</si>
  <si>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</si>
  <si>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</si>
  <si>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</si>
  <si>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</si>
  <si>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</si>
  <si>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</si>
  <si>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</si>
  <si>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</si>
  <si>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</si>
  <si>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</si>
  <si>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</si>
  <si>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</si>
  <si>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</si>
  <si>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</si>
  <si>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</si>
  <si>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</si>
  <si>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</si>
  <si>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</si>
  <si>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</si>
  <si>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</si>
  <si>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</si>
  <si>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</si>
  <si>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</si>
  <si>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</si>
  <si>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</si>
  <si>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</si>
  <si>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</si>
  <si>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</si>
  <si>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</si>
  <si>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</si>
  <si>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</si>
  <si>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</si>
  <si>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</si>
  <si>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</si>
  <si>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</si>
  <si>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</si>
  <si>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</si>
  <si>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</si>
  <si>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</si>
  <si>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</si>
  <si>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</si>
  <si>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</si>
  <si>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</si>
  <si>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</si>
  <si>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</si>
  <si>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</si>
  <si>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</si>
  <si>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</si>
  <si>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</si>
  <si>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</si>
  <si>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</si>
  <si>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</si>
  <si>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</si>
  <si>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</si>
  <si>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</si>
  <si>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</si>
  <si>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</si>
  <si>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</si>
  <si>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</si>
  <si>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</si>
  <si>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</si>
  <si>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</si>
  <si>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</si>
  <si>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</si>
  <si>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</si>
  <si>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</si>
  <si>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</si>
  <si>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</si>
  <si>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</si>
  <si>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</si>
  <si>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</si>
  <si>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</si>
  <si>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</si>
  <si>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</si>
  <si>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</si>
  <si>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</si>
  <si>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</si>
  <si>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</si>
  <si>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</si>
  <si>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</si>
  <si>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</si>
  <si>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</si>
  <si>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</si>
  <si>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</si>
  <si>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</si>
  <si>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</si>
  <si>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</si>
  <si>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</si>
  <si>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</si>
  <si>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</si>
  <si>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</si>
  <si>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</si>
  <si>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</si>
  <si>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</si>
  <si>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</si>
  <si>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</si>
  <si>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</si>
  <si>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</si>
  <si>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</si>
  <si>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</si>
  <si>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</si>
  <si>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</si>
  <si>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</si>
  <si>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</si>
  <si>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</si>
  <si>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</si>
  <si>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</si>
  <si>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</si>
  <si>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</si>
  <si>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</si>
  <si>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</si>
  <si>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</si>
  <si>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</si>
  <si>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</si>
  <si>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</si>
  <si>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</si>
  <si>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</si>
  <si>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</si>
  <si>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</si>
  <si>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</si>
  <si>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</si>
  <si>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</si>
  <si>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</si>
  <si>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</si>
  <si>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</si>
  <si>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</si>
  <si>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</si>
  <si>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</si>
  <si>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</si>
  <si>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</si>
  <si>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</si>
  <si>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</si>
  <si>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</si>
  <si>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</si>
  <si>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</si>
  <si>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</si>
  <si>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</si>
  <si>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</si>
  <si>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</si>
  <si>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</si>
  <si>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</si>
  <si>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</si>
  <si>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</si>
  <si>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</si>
  <si>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</si>
  <si>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</si>
  <si>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</si>
  <si>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</si>
  <si>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</si>
  <si>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</si>
  <si>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</si>
  <si>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</si>
  <si>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</si>
  <si>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</si>
  <si>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</si>
  <si>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</si>
  <si>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</si>
  <si>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</si>
  <si>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</si>
  <si>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</si>
  <si>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</si>
  <si>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</si>
  <si>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</si>
  <si>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</si>
  <si>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</si>
  <si>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</si>
  <si>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</si>
  <si>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</si>
  <si>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</si>
  <si>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</si>
  <si>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</si>
  <si>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</si>
  <si>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</si>
  <si>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</si>
  <si>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</si>
  <si>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</si>
  <si>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</si>
  <si>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</si>
  <si>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</si>
  <si>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</si>
  <si>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</si>
  <si>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</si>
  <si>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</si>
  <si>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</si>
  <si>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</si>
  <si>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</si>
  <si>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</si>
  <si>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</si>
  <si>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</si>
  <si>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</si>
  <si>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71067</t>
  </si>
  <si>
    <t>ZUTENDAAL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</si>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</sst>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63982.052238825599</c:v>
                </c:pt>
                <c:pt idx="1">
                  <c:v>23351.834037558969</c:v>
                </c:pt>
                <c:pt idx="2">
                  <c:v>645.673</c:v>
                </c:pt>
                <c:pt idx="3">
                  <c:v>1881.1984335002596</c:v>
                </c:pt>
                <c:pt idx="4">
                  <c:v>10873.042849593323</c:v>
                </c:pt>
                <c:pt idx="5">
                  <c:v>77460.101621502297</c:v>
                </c:pt>
                <c:pt idx="6">
                  <c:v>1151.0458481359303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6064"/>
      </c:barChart>
      <c:catAx>
        <c:axId val="156446080"/>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63982.052238825599</c:v>
                </c:pt>
                <c:pt idx="1">
                  <c:v>23351.834037558969</c:v>
                </c:pt>
                <c:pt idx="2">
                  <c:v>645.673</c:v>
                </c:pt>
                <c:pt idx="3">
                  <c:v>1881.1984335002596</c:v>
                </c:pt>
                <c:pt idx="4">
                  <c:v>10873.042849593323</c:v>
                </c:pt>
                <c:pt idx="5">
                  <c:v>77460.101621502297</c:v>
                </c:pt>
                <c:pt idx="6">
                  <c:v>1151.0458481359303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11128.643530189276</c:v>
                </c:pt>
                <c:pt idx="1">
                  <c:v>3418.7036331096201</c:v>
                </c:pt>
                <c:pt idx="2">
                  <c:v>56.985313267775034</c:v>
                </c:pt>
                <c:pt idx="3">
                  <c:v>443.34025917374009</c:v>
                </c:pt>
                <c:pt idx="4">
                  <c:v>1342.2031134580745</c:v>
                </c:pt>
                <c:pt idx="5">
                  <c:v>19376.672287025027</c:v>
                </c:pt>
                <c:pt idx="6">
                  <c:v>290.81238196987812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46432"/>
      </c:barChart>
      <c:catAx>
        <c:axId val="156936448"/>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11128.643530189276</c:v>
                </c:pt>
                <c:pt idx="1">
                  <c:v>3418.7036331096201</c:v>
                </c:pt>
                <c:pt idx="2">
                  <c:v>56.985313267775034</c:v>
                </c:pt>
                <c:pt idx="3">
                  <c:v>443.34025917374009</c:v>
                </c:pt>
                <c:pt idx="4">
                  <c:v>1342.2031134580745</c:v>
                </c:pt>
                <c:pt idx="5">
                  <c:v>19376.672287025027</c:v>
                </c:pt>
                <c:pt idx="6">
                  <c:v>290.81238196987812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2964</v>
      </c>
      <c r="C9" s="342">
        <v>3004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395.44</v>
      </c>
    </row>
    <row r="15" spans="1:6">
      <c r="A15" s="348" t="s">
        <v>184</v>
      </c>
      <c r="B15" s="334">
        <v>3</v>
      </c>
    </row>
    <row r="16" spans="1:6">
      <c r="A16" s="348" t="s">
        <v>6</v>
      </c>
      <c r="B16" s="334">
        <v>8</v>
      </c>
    </row>
    <row r="17" spans="1:6">
      <c r="A17" s="348" t="s">
        <v>7</v>
      </c>
      <c r="B17" s="334">
        <v>83</v>
      </c>
    </row>
    <row r="18" spans="1:6">
      <c r="A18" s="348" t="s">
        <v>8</v>
      </c>
      <c r="B18" s="334">
        <v>64</v>
      </c>
    </row>
    <row r="19" spans="1:6">
      <c r="A19" s="348" t="s">
        <v>9</v>
      </c>
      <c r="B19" s="334">
        <v>60</v>
      </c>
    </row>
    <row r="20" spans="1:6">
      <c r="A20" s="348" t="s">
        <v>10</v>
      </c>
      <c r="B20" s="334">
        <v>63</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145</v>
      </c>
    </row>
    <row r="27" spans="1:6">
      <c r="A27" s="348" t="s">
        <v>17</v>
      </c>
      <c r="B27" s="334">
        <v>0</v>
      </c>
    </row>
    <row r="28" spans="1:6" s="356" customFormat="1">
      <c r="A28" s="355" t="s">
        <v>18</v>
      </c>
      <c r="B28" s="355">
        <v>71003</v>
      </c>
    </row>
    <row r="29" spans="1:6">
      <c r="A29" s="355" t="s">
        <v>744</v>
      </c>
      <c r="B29" s="355">
        <v>162</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15338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1444</v>
      </c>
      <c r="D39" s="334">
        <v>22142036.449999999</v>
      </c>
      <c r="E39" s="334">
        <v>3355</v>
      </c>
      <c r="F39" s="334">
        <v>12431595</v>
      </c>
    </row>
    <row r="40" spans="1:6">
      <c r="A40" s="348" t="s">
        <v>30</v>
      </c>
      <c r="B40" s="348" t="s">
        <v>29</v>
      </c>
      <c r="C40" s="334">
        <v>0</v>
      </c>
      <c r="D40" s="334">
        <v>0</v>
      </c>
      <c r="E40" s="334">
        <v>0</v>
      </c>
      <c r="F40" s="334">
        <v>0</v>
      </c>
    </row>
    <row r="41" spans="1:6">
      <c r="A41" s="348" t="s">
        <v>32</v>
      </c>
      <c r="B41" s="348" t="s">
        <v>33</v>
      </c>
      <c r="C41" s="334">
        <v>13</v>
      </c>
      <c r="D41" s="334">
        <v>265021.8</v>
      </c>
      <c r="E41" s="334">
        <v>54</v>
      </c>
      <c r="F41" s="334">
        <v>536400.9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248663</v>
      </c>
      <c r="E44" s="334">
        <v>10</v>
      </c>
      <c r="F44" s="334">
        <v>1088027</v>
      </c>
    </row>
    <row r="45" spans="1:6">
      <c r="A45" s="348" t="s">
        <v>32</v>
      </c>
      <c r="B45" s="348" t="s">
        <v>37</v>
      </c>
      <c r="C45" s="334">
        <v>0</v>
      </c>
      <c r="D45" s="334">
        <v>0</v>
      </c>
      <c r="E45" s="334">
        <v>4</v>
      </c>
      <c r="F45" s="334">
        <v>4773515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3</v>
      </c>
      <c r="D50" s="334">
        <v>47419</v>
      </c>
      <c r="E50" s="334">
        <v>6</v>
      </c>
      <c r="F50" s="334">
        <v>215003</v>
      </c>
    </row>
    <row r="51" spans="1:6">
      <c r="A51" s="348" t="s">
        <v>42</v>
      </c>
      <c r="B51" s="348" t="s">
        <v>43</v>
      </c>
      <c r="C51" s="334">
        <v>0</v>
      </c>
      <c r="D51" s="334">
        <v>0</v>
      </c>
      <c r="E51" s="334">
        <v>14</v>
      </c>
      <c r="F51" s="334">
        <v>352270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645673</v>
      </c>
    </row>
    <row r="55" spans="1:6">
      <c r="A55" s="348" t="s">
        <v>46</v>
      </c>
      <c r="B55" s="348" t="s">
        <v>29</v>
      </c>
      <c r="C55" s="334">
        <v>0</v>
      </c>
      <c r="D55" s="334">
        <v>0</v>
      </c>
      <c r="E55" s="334">
        <v>0</v>
      </c>
      <c r="F55" s="334">
        <v>0</v>
      </c>
    </row>
    <row r="56" spans="1:6">
      <c r="A56" s="348" t="s">
        <v>48</v>
      </c>
      <c r="B56" s="348" t="s">
        <v>29</v>
      </c>
      <c r="C56" s="334">
        <v>4</v>
      </c>
      <c r="D56" s="334">
        <v>1883245</v>
      </c>
      <c r="E56" s="334">
        <v>7</v>
      </c>
      <c r="F56" s="334">
        <v>18053333</v>
      </c>
    </row>
    <row r="57" spans="1:6">
      <c r="A57" s="348" t="s">
        <v>49</v>
      </c>
      <c r="B57" s="348" t="s">
        <v>50</v>
      </c>
      <c r="C57" s="334">
        <v>13</v>
      </c>
      <c r="D57" s="334">
        <v>420648</v>
      </c>
      <c r="E57" s="334">
        <v>29</v>
      </c>
      <c r="F57" s="334">
        <v>1008369</v>
      </c>
    </row>
    <row r="58" spans="1:6">
      <c r="A58" s="348" t="s">
        <v>49</v>
      </c>
      <c r="B58" s="348" t="s">
        <v>51</v>
      </c>
      <c r="C58" s="334">
        <v>12</v>
      </c>
      <c r="D58" s="334">
        <v>1705696.6</v>
      </c>
      <c r="E58" s="334">
        <v>21</v>
      </c>
      <c r="F58" s="334">
        <v>2624894</v>
      </c>
    </row>
    <row r="59" spans="1:6">
      <c r="A59" s="348" t="s">
        <v>49</v>
      </c>
      <c r="B59" s="348" t="s">
        <v>52</v>
      </c>
      <c r="C59" s="334">
        <v>26</v>
      </c>
      <c r="D59" s="334">
        <v>818636</v>
      </c>
      <c r="E59" s="334">
        <v>76</v>
      </c>
      <c r="F59" s="334">
        <v>3113096</v>
      </c>
    </row>
    <row r="60" spans="1:6">
      <c r="A60" s="348" t="s">
        <v>49</v>
      </c>
      <c r="B60" s="348" t="s">
        <v>53</v>
      </c>
      <c r="C60" s="334">
        <v>16</v>
      </c>
      <c r="D60" s="334">
        <v>3292783</v>
      </c>
      <c r="E60" s="334">
        <v>35</v>
      </c>
      <c r="F60" s="334">
        <v>2594836</v>
      </c>
    </row>
    <row r="61" spans="1:6">
      <c r="A61" s="348" t="s">
        <v>49</v>
      </c>
      <c r="B61" s="348" t="s">
        <v>54</v>
      </c>
      <c r="C61" s="334">
        <v>44</v>
      </c>
      <c r="D61" s="334">
        <v>4099405.6</v>
      </c>
      <c r="E61" s="334">
        <v>137</v>
      </c>
      <c r="F61" s="334">
        <v>1478357.7</v>
      </c>
    </row>
    <row r="62" spans="1:6">
      <c r="A62" s="348" t="s">
        <v>49</v>
      </c>
      <c r="B62" s="348" t="s">
        <v>55</v>
      </c>
      <c r="C62" s="334">
        <v>3</v>
      </c>
      <c r="D62" s="334">
        <v>305862</v>
      </c>
      <c r="E62" s="334">
        <v>4</v>
      </c>
      <c r="F62" s="334">
        <v>61446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56765888</v>
      </c>
      <c r="E73" s="476">
        <v>57548371.08376348</v>
      </c>
    </row>
    <row r="74" spans="1:6">
      <c r="A74" s="348" t="s">
        <v>64</v>
      </c>
      <c r="B74" s="348" t="s">
        <v>657</v>
      </c>
      <c r="C74" s="1213" t="s">
        <v>659</v>
      </c>
      <c r="D74" s="476">
        <v>2492301.5644187639</v>
      </c>
      <c r="E74" s="476">
        <v>2549032.7647871776</v>
      </c>
    </row>
    <row r="75" spans="1:6">
      <c r="A75" s="348" t="s">
        <v>65</v>
      </c>
      <c r="B75" s="348" t="s">
        <v>656</v>
      </c>
      <c r="C75" s="1213" t="s">
        <v>660</v>
      </c>
      <c r="D75" s="476">
        <v>12471505</v>
      </c>
      <c r="E75" s="476">
        <v>12601643.471121468</v>
      </c>
    </row>
    <row r="76" spans="1:6">
      <c r="A76" s="348" t="s">
        <v>65</v>
      </c>
      <c r="B76" s="348" t="s">
        <v>657</v>
      </c>
      <c r="C76" s="1213" t="s">
        <v>661</v>
      </c>
      <c r="D76" s="476">
        <v>24175.564418763825</v>
      </c>
      <c r="E76" s="476">
        <v>20506.471037091222</v>
      </c>
    </row>
    <row r="77" spans="1:6">
      <c r="A77" s="348" t="s">
        <v>66</v>
      </c>
      <c r="B77" s="348" t="s">
        <v>656</v>
      </c>
      <c r="C77" s="1213" t="s">
        <v>662</v>
      </c>
      <c r="D77" s="476">
        <v>21824498</v>
      </c>
      <c r="E77" s="476">
        <v>24051383.30084791</v>
      </c>
    </row>
    <row r="78" spans="1:6">
      <c r="A78" s="341" t="s">
        <v>66</v>
      </c>
      <c r="B78" s="341" t="s">
        <v>657</v>
      </c>
      <c r="C78" s="341" t="s">
        <v>663</v>
      </c>
      <c r="D78" s="1214">
        <v>4333150</v>
      </c>
      <c r="E78" s="1214">
        <v>4767328.5875040572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312182.87116247235</v>
      </c>
      <c r="C83" s="476">
        <v>319222.25951382471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17223.535465679979</v>
      </c>
    </row>
    <row r="91" spans="1:6">
      <c r="A91" s="348" t="s">
        <v>68</v>
      </c>
      <c r="B91" s="334">
        <v>2349.9357296631538</v>
      </c>
    </row>
    <row r="92" spans="1:6">
      <c r="A92" s="341" t="s">
        <v>69</v>
      </c>
      <c r="B92" s="342">
        <v>433.59195163203412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0</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33309.242379313466</v>
      </c>
      <c r="C3" s="43" t="s">
        <v>170</v>
      </c>
      <c r="D3" s="43"/>
      <c r="E3" s="154"/>
      <c r="F3" s="43"/>
      <c r="G3" s="43"/>
      <c r="H3" s="43"/>
      <c r="I3" s="43"/>
      <c r="J3" s="43"/>
      <c r="K3" s="96"/>
    </row>
    <row r="4" spans="1:11">
      <c r="A4" s="383" t="s">
        <v>171</v>
      </c>
      <c r="B4" s="49">
        <f>IF(ISERROR('SEAP template'!B69),0,'SEAP template'!B69)</f>
        <v>20007.063146975168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8.8257234339634824E-2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645.673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645.673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8.8257234339634824E-2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56.985313267775034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12431.594999999999</v>
      </c>
      <c r="C5" s="17">
        <f>IF(ISERROR('Eigen informatie GS &amp; warmtenet'!B57),0,'Eigen informatie GS &amp; warmtenet'!B57)</f>
        <v>0</v>
      </c>
      <c r="D5" s="30">
        <f>(SUM(HH_hh_gas_kWh,HH_rest_gas_kWh)/1000)*0.902</f>
        <v>19972.1168779</v>
      </c>
      <c r="E5" s="17">
        <f>B46*B57</f>
        <v>849.83611960886299</v>
      </c>
      <c r="F5" s="17">
        <f>B51*B62</f>
        <v>20961.745693617486</v>
      </c>
      <c r="G5" s="18"/>
      <c r="H5" s="17"/>
      <c r="I5" s="17"/>
      <c r="J5" s="17">
        <f>B50*B61+C50*C61</f>
        <v>0</v>
      </c>
      <c r="K5" s="17"/>
      <c r="L5" s="17"/>
      <c r="M5" s="17"/>
      <c r="N5" s="17">
        <f>B48*B59+C48*C59</f>
        <v>6564.7094847027602</v>
      </c>
      <c r="O5" s="17">
        <f>B69*B70*B71</f>
        <v>165.71333333333337</v>
      </c>
      <c r="P5" s="17">
        <f>B77*B78*B79/1000-B77*B78*B79/1000/B80</f>
        <v>686.4</v>
      </c>
    </row>
    <row r="6" spans="1:16">
      <c r="A6" s="16" t="s">
        <v>621</v>
      </c>
      <c r="B6" s="843">
        <f>kWh_PV_kleiner_dan_10kW</f>
        <v>2349.9357296631538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14781.530729663153</v>
      </c>
      <c r="C8" s="21">
        <f>C5</f>
        <v>0</v>
      </c>
      <c r="D8" s="21">
        <f>D5</f>
        <v>19972.1168779</v>
      </c>
      <c r="E8" s="21">
        <f>E5</f>
        <v>849.83611960886299</v>
      </c>
      <c r="F8" s="21">
        <f>F5</f>
        <v>20961.745693617486</v>
      </c>
      <c r="G8" s="21"/>
      <c r="H8" s="21"/>
      <c r="I8" s="21"/>
      <c r="J8" s="21">
        <f>J5</f>
        <v>0</v>
      </c>
      <c r="K8" s="21"/>
      <c r="L8" s="21">
        <f>L5</f>
        <v>0</v>
      </c>
      <c r="M8" s="21">
        <f>M5</f>
        <v>0</v>
      </c>
      <c r="N8" s="21">
        <f>N5</f>
        <v>6564.7094847027602</v>
      </c>
      <c r="O8" s="21">
        <f>O5</f>
        <v>165.71333333333337</v>
      </c>
      <c r="P8" s="21">
        <f>P5</f>
        <v>686.4</v>
      </c>
    </row>
    <row r="9" spans="1:16">
      <c r="B9" s="19"/>
      <c r="C9" s="19"/>
      <c r="D9" s="258"/>
      <c r="E9" s="19"/>
      <c r="F9" s="19"/>
      <c r="G9" s="19"/>
      <c r="H9" s="19"/>
      <c r="I9" s="19"/>
      <c r="J9" s="19"/>
      <c r="K9" s="19"/>
      <c r="L9" s="19"/>
      <c r="M9" s="19"/>
      <c r="N9" s="19"/>
      <c r="O9" s="19"/>
      <c r="P9" s="19"/>
    </row>
    <row r="10" spans="1:16">
      <c r="A10" s="24" t="s">
        <v>214</v>
      </c>
      <c r="B10" s="25">
        <f ca="1">'EF ele_warmte'!B12</f>
        <v>8.8257234339634824E-2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1304.5770215063942</v>
      </c>
      <c r="C12" s="23">
        <f ca="1">C10*C8</f>
        <v>0</v>
      </c>
      <c r="D12" s="23">
        <f>D8*D10</f>
        <v>4034.3676093358004</v>
      </c>
      <c r="E12" s="23">
        <f>E10*E8</f>
        <v>192.91279915121191</v>
      </c>
      <c r="F12" s="23">
        <f>F10*F8</f>
        <v>5596.786100195869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2964</v>
      </c>
      <c r="C28" s="36"/>
      <c r="D28" s="228"/>
    </row>
    <row r="29" spans="1:7" s="15" customFormat="1">
      <c r="A29" s="230" t="s">
        <v>795</v>
      </c>
      <c r="B29" s="37">
        <f>SUM(HH_hh_gas_aantal,HH_rest_gas_aantal)</f>
        <v>1444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1444</v>
      </c>
      <c r="C32" s="167">
        <f>IF(ISERROR(B32/SUM($B$32,$B$34,$B$35,$B$36,$B$38,$B$39)*100),0,B32/SUM($B$32,$B$34,$B$35,$B$36,$B$38,$B$39)*100)</f>
        <v>49.31693989071038</v>
      </c>
      <c r="D32" s="233"/>
      <c r="G32" s="15"/>
    </row>
    <row r="33" spans="1:7">
      <c r="A33" s="171" t="s">
        <v>72</v>
      </c>
      <c r="B33" s="34" t="s">
        <v>111</v>
      </c>
      <c r="C33" s="167"/>
      <c r="D33" s="233"/>
      <c r="G33" s="15"/>
    </row>
    <row r="34" spans="1:7">
      <c r="A34" s="171" t="s">
        <v>73</v>
      </c>
      <c r="B34" s="33">
        <f>IF((($B$28-$B$32-$B$39-$B$77-$B$38)*C20/100)&lt;0,0,($B$28-$B$32-$B$39-$B$77-$B$38)*C20/100)</f>
        <v>40.136904761904752</v>
      </c>
      <c r="C34" s="167">
        <f>IF(ISERROR(B34/SUM($B$32,$B$34,$B$35,$B$36,$B$38,$B$39)*100),0,B34/SUM($B$32,$B$34,$B$35,$B$36,$B$38,$B$39)*100)</f>
        <v>1.3707959276606814</v>
      </c>
      <c r="D34" s="233"/>
      <c r="G34" s="15"/>
    </row>
    <row r="35" spans="1:7">
      <c r="A35" s="171" t="s">
        <v>74</v>
      </c>
      <c r="B35" s="33">
        <f>IF((($B$28-$B$32-$B$39-$B$77-$B$38)*C21/100)&lt;0,0,($B$28-$B$32-$B$39-$B$77-$B$38)*C21/100)</f>
        <v>543.18611111111113</v>
      </c>
      <c r="C35" s="167">
        <f>IF(ISERROR(B35/SUM($B$32,$B$34,$B$35,$B$36,$B$38,$B$39)*100),0,B35/SUM($B$32,$B$34,$B$35,$B$36,$B$38,$B$39)*100)</f>
        <v>18.551438221007892</v>
      </c>
      <c r="D35" s="233"/>
      <c r="G35" s="15"/>
    </row>
    <row r="36" spans="1:7">
      <c r="A36" s="171" t="s">
        <v>75</v>
      </c>
      <c r="B36" s="33">
        <f>IF((($B$28-$B$32-$B$39-$B$77-$B$38)*C22/100)&lt;0,0,($B$28-$B$32-$B$39-$B$77-$B$38)*C22/100)</f>
        <v>90.976984126984121</v>
      </c>
      <c r="C36" s="167">
        <f>IF(ISERROR(B36/SUM($B$32,$B$34,$B$35,$B$36,$B$38,$B$39)*100),0,B36/SUM($B$32,$B$34,$B$35,$B$36,$B$38,$B$39)*100)</f>
        <v>3.1071374360308783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809.7</v>
      </c>
      <c r="C39" s="167">
        <f>IF(ISERROR(B39/SUM($B$32,$B$34,$B$35,$B$36,$B$38,$B$39)*100),0,B39/SUM($B$32,$B$34,$B$35,$B$36,$B$38,$B$39)*100)</f>
        <v>27.653688524590166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1444</v>
      </c>
      <c r="C44" s="34" t="s">
        <v>111</v>
      </c>
      <c r="D44" s="174"/>
    </row>
    <row r="45" spans="1:7">
      <c r="A45" s="171" t="s">
        <v>72</v>
      </c>
      <c r="B45" s="33" t="str">
        <f t="shared" si="0"/>
        <v>-</v>
      </c>
      <c r="C45" s="34" t="s">
        <v>111</v>
      </c>
      <c r="D45" s="174"/>
    </row>
    <row r="46" spans="1:7">
      <c r="A46" s="171" t="s">
        <v>73</v>
      </c>
      <c r="B46" s="33">
        <f t="shared" si="0"/>
        <v>40.136904761904752</v>
      </c>
      <c r="C46" s="34" t="s">
        <v>111</v>
      </c>
      <c r="D46" s="174"/>
    </row>
    <row r="47" spans="1:7">
      <c r="A47" s="171" t="s">
        <v>74</v>
      </c>
      <c r="B47" s="33">
        <f t="shared" si="0"/>
        <v>543.18611111111113</v>
      </c>
      <c r="C47" s="34" t="s">
        <v>111</v>
      </c>
      <c r="D47" s="174"/>
    </row>
    <row r="48" spans="1:7">
      <c r="A48" s="171" t="s">
        <v>75</v>
      </c>
      <c r="B48" s="33">
        <f t="shared" si="0"/>
        <v>90.976984126984121</v>
      </c>
      <c r="C48" s="33">
        <f>B48*10</f>
        <v>909.76984126984121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809.7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10880.9987</v>
      </c>
      <c r="C5" s="17">
        <f>IF(ISERROR('Eigen informatie GS &amp; warmtenet'!B58),0,'Eigen informatie GS &amp; warmtenet'!B58)</f>
        <v>0</v>
      </c>
      <c r="D5" s="30">
        <f>SUM(D6:D12)</f>
        <v>9600.0141423999994</v>
      </c>
      <c r="E5" s="17">
        <f>SUM(E6:E12)</f>
        <v>152.37189845473432</v>
      </c>
      <c r="F5" s="17">
        <f>SUM(F6:F12)</f>
        <v>1814.8979588804423</v>
      </c>
      <c r="G5" s="18"/>
      <c r="H5" s="17"/>
      <c r="I5" s="17"/>
      <c r="J5" s="17">
        <f>SUM(J6:J12)</f>
        <v>2.1887738292661718E-2</v>
      </c>
      <c r="K5" s="17"/>
      <c r="L5" s="17"/>
      <c r="M5" s="17"/>
      <c r="N5" s="17">
        <f>SUM(N6:N12)</f>
        <v>903.52945008549796</v>
      </c>
      <c r="O5" s="17">
        <f>B38*B39*B40</f>
        <v>0</v>
      </c>
      <c r="P5" s="17">
        <f>B46*B47*B48/1000-B46*B47*B48/1000/B49</f>
        <v>0</v>
      </c>
      <c r="R5" s="32"/>
    </row>
    <row r="6" spans="1:18">
      <c r="A6" s="32" t="s">
        <v>54</v>
      </c>
      <c r="B6" s="37">
        <f>B26</f>
        <v>1478.3577</v>
      </c>
      <c r="C6" s="33"/>
      <c r="D6" s="37">
        <f>IF(ISERROR(TER_kantoor_gas_kWh/1000),0,TER_kantoor_gas_kWh/1000)*0.902</f>
        <v>3697.6638512</v>
      </c>
      <c r="E6" s="33">
        <f>$C$26*'E Balans VL '!I12/100/3.6*1000000</f>
        <v>9.2658543695320617E-3</v>
      </c>
      <c r="F6" s="33">
        <f>$C$26*('E Balans VL '!L12+'E Balans VL '!N12)/100/3.6*1000000</f>
        <v>222.15585305604299</v>
      </c>
      <c r="G6" s="34"/>
      <c r="H6" s="33"/>
      <c r="I6" s="33"/>
      <c r="J6" s="33">
        <f>$C$26*('E Balans VL '!D12+'E Balans VL '!E12)/100/3.6*1000000</f>
        <v>0</v>
      </c>
      <c r="K6" s="33"/>
      <c r="L6" s="33"/>
      <c r="M6" s="33"/>
      <c r="N6" s="33">
        <f>$C$26*'E Balans VL '!Y12/100/3.6*1000000</f>
        <v>1.4138299494660869</v>
      </c>
      <c r="O6" s="33"/>
      <c r="P6" s="33"/>
      <c r="R6" s="32"/>
    </row>
    <row r="7" spans="1:18">
      <c r="A7" s="32" t="s">
        <v>53</v>
      </c>
      <c r="B7" s="37">
        <f t="shared" ref="B7:B12" si="0">B27</f>
        <v>2594.8359999999998</v>
      </c>
      <c r="C7" s="33"/>
      <c r="D7" s="37">
        <f>IF(ISERROR(TER_horeca_gas_kWh/1000),0,TER_horeca_gas_kWh/1000)*0.902</f>
        <v>2970.0902660000002</v>
      </c>
      <c r="E7" s="33">
        <f>$C$27*'E Balans VL '!I9/100/3.6*1000000</f>
        <v>37.157619302831833</v>
      </c>
      <c r="F7" s="33">
        <f>$C$27*('E Balans VL '!L9+'E Balans VL '!N9)/100/3.6*1000000</f>
        <v>328.59181858836155</v>
      </c>
      <c r="G7" s="34"/>
      <c r="H7" s="33"/>
      <c r="I7" s="33"/>
      <c r="J7" s="33">
        <f>$C$27*('E Balans VL '!D9+'E Balans VL '!E9)/100/3.6*1000000</f>
        <v>0</v>
      </c>
      <c r="K7" s="33"/>
      <c r="L7" s="33"/>
      <c r="M7" s="33"/>
      <c r="N7" s="33">
        <f>$C$27*'E Balans VL '!Y9/100/3.6*1000000</f>
        <v>0.74595813877719219</v>
      </c>
      <c r="O7" s="33"/>
      <c r="P7" s="33"/>
      <c r="R7" s="32"/>
    </row>
    <row r="8" spans="1:18">
      <c r="A8" s="6" t="s">
        <v>52</v>
      </c>
      <c r="B8" s="37">
        <f t="shared" si="0"/>
        <v>3113.096</v>
      </c>
      <c r="C8" s="33"/>
      <c r="D8" s="37">
        <f>IF(ISERROR(TER_handel_gas_kWh/1000),0,TER_handel_gas_kWh/1000)*0.902</f>
        <v>738.409672</v>
      </c>
      <c r="E8" s="33">
        <f>$C$28*'E Balans VL '!I13/100/3.6*1000000</f>
        <v>112.91160803020014</v>
      </c>
      <c r="F8" s="33">
        <f>$C$28*('E Balans VL '!L13+'E Balans VL '!N13)/100/3.6*1000000</f>
        <v>599.61381170111258</v>
      </c>
      <c r="G8" s="34"/>
      <c r="H8" s="33"/>
      <c r="I8" s="33"/>
      <c r="J8" s="33">
        <f>$C$28*('E Balans VL '!D13+'E Balans VL '!E13)/100/3.6*1000000</f>
        <v>0</v>
      </c>
      <c r="K8" s="33"/>
      <c r="L8" s="33"/>
      <c r="M8" s="33"/>
      <c r="N8" s="33">
        <f>$C$28*'E Balans VL '!Y13/100/3.6*1000000</f>
        <v>4.3123542514439581</v>
      </c>
      <c r="O8" s="33"/>
      <c r="P8" s="33"/>
      <c r="R8" s="32"/>
    </row>
    <row r="9" spans="1:18">
      <c r="A9" s="32" t="s">
        <v>51</v>
      </c>
      <c r="B9" s="37">
        <f t="shared" si="0"/>
        <v>2624.8939999999998</v>
      </c>
      <c r="C9" s="33"/>
      <c r="D9" s="37">
        <f>IF(ISERROR(TER_gezond_gas_kWh/1000),0,TER_gezond_gas_kWh/1000)*0.902</f>
        <v>1538.5383332000001</v>
      </c>
      <c r="E9" s="33">
        <f>$C$29*'E Balans VL '!I10/100/3.6*1000000</f>
        <v>0.16434428054622746</v>
      </c>
      <c r="F9" s="33">
        <f>$C$29*('E Balans VL '!L10+'E Balans VL '!N10)/100/3.6*1000000</f>
        <v>389.93599574110829</v>
      </c>
      <c r="G9" s="34"/>
      <c r="H9" s="33"/>
      <c r="I9" s="33"/>
      <c r="J9" s="33">
        <f>$C$29*('E Balans VL '!D10+'E Balans VL '!E10)/100/3.6*1000000</f>
        <v>0</v>
      </c>
      <c r="K9" s="33"/>
      <c r="L9" s="33"/>
      <c r="M9" s="33"/>
      <c r="N9" s="33">
        <f>$C$29*'E Balans VL '!Y10/100/3.6*1000000</f>
        <v>40.602113672620526</v>
      </c>
      <c r="O9" s="33"/>
      <c r="P9" s="33"/>
      <c r="R9" s="32"/>
    </row>
    <row r="10" spans="1:18">
      <c r="A10" s="32" t="s">
        <v>50</v>
      </c>
      <c r="B10" s="37">
        <f t="shared" si="0"/>
        <v>1008.369</v>
      </c>
      <c r="C10" s="33"/>
      <c r="D10" s="37">
        <f>IF(ISERROR(TER_ander_gas_kWh/1000),0,TER_ander_gas_kWh/1000)*0.902</f>
        <v>379.42449600000003</v>
      </c>
      <c r="E10" s="33">
        <f>$C$30*'E Balans VL '!I14/100/3.6*1000000</f>
        <v>1.2019398149804503</v>
      </c>
      <c r="F10" s="33">
        <f>$C$30*('E Balans VL '!L14+'E Balans VL '!N14)/100/3.6*1000000</f>
        <v>263.83415896476362</v>
      </c>
      <c r="G10" s="34"/>
      <c r="H10" s="33"/>
      <c r="I10" s="33"/>
      <c r="J10" s="33">
        <f>$C$30*('E Balans VL '!D14+'E Balans VL '!E14)/100/3.6*1000000</f>
        <v>2.1887738292661718E-2</v>
      </c>
      <c r="K10" s="33"/>
      <c r="L10" s="33"/>
      <c r="M10" s="33"/>
      <c r="N10" s="33">
        <f>$C$30*'E Balans VL '!Y14/100/3.6*1000000</f>
        <v>856.28228035788743</v>
      </c>
      <c r="O10" s="33"/>
      <c r="P10" s="33"/>
      <c r="R10" s="32"/>
    </row>
    <row r="11" spans="1:18">
      <c r="A11" s="32" t="s">
        <v>55</v>
      </c>
      <c r="B11" s="37">
        <f t="shared" si="0"/>
        <v>61.445999999999998</v>
      </c>
      <c r="C11" s="33"/>
      <c r="D11" s="37">
        <f>IF(ISERROR(TER_onderwijs_gas_kWh/1000),0,TER_onderwijs_gas_kWh/1000)*0.902</f>
        <v>275.88752400000004</v>
      </c>
      <c r="E11" s="33">
        <f>$C$31*'E Balans VL '!I11/100/3.6*1000000</f>
        <v>0.92712117180614462</v>
      </c>
      <c r="F11" s="33">
        <f>$C$31*('E Balans VL '!L11+'E Balans VL '!N11)/100/3.6*1000000</f>
        <v>10.766320829053136</v>
      </c>
      <c r="G11" s="34"/>
      <c r="H11" s="33"/>
      <c r="I11" s="33"/>
      <c r="J11" s="33">
        <f>$C$31*('E Balans VL '!D11+'E Balans VL '!E11)/100/3.6*1000000</f>
        <v>0</v>
      </c>
      <c r="K11" s="33"/>
      <c r="L11" s="33"/>
      <c r="M11" s="33"/>
      <c r="N11" s="33">
        <f>$C$31*'E Balans VL '!Y11/100/3.6*1000000</f>
        <v>0.17291371530281191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10880.9987</v>
      </c>
      <c r="C16" s="21">
        <f t="shared" ca="1" si="1"/>
        <v>0</v>
      </c>
      <c r="D16" s="21">
        <f t="shared" ca="1" si="1"/>
        <v>9600.0141423999994</v>
      </c>
      <c r="E16" s="21">
        <f t="shared" si="1"/>
        <v>152.37189845473432</v>
      </c>
      <c r="F16" s="21">
        <f t="shared" ca="1" si="1"/>
        <v>1814.8979588804423</v>
      </c>
      <c r="G16" s="21">
        <f t="shared" si="1"/>
        <v>0</v>
      </c>
      <c r="H16" s="21">
        <f t="shared" si="1"/>
        <v>0</v>
      </c>
      <c r="I16" s="21">
        <f t="shared" si="1"/>
        <v>0</v>
      </c>
      <c r="J16" s="21">
        <f t="shared" si="1"/>
        <v>2.1887738292661718E-2</v>
      </c>
      <c r="K16" s="21">
        <f t="shared" si="1"/>
        <v>0</v>
      </c>
      <c r="L16" s="21">
        <f t="shared" ca="1" si="1"/>
        <v>0</v>
      </c>
      <c r="M16" s="21">
        <f t="shared" si="1"/>
        <v>0</v>
      </c>
      <c r="N16" s="21">
        <f t="shared" ca="1" si="1"/>
        <v>903.52945008549796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8.8257234339634824E-2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960.32685211516184</v>
      </c>
      <c r="C20" s="23">
        <f t="shared" ref="C20:P20" ca="1" si="2">C16*C18</f>
        <v>0</v>
      </c>
      <c r="D20" s="23">
        <f t="shared" ca="1" si="2"/>
        <v>1939.2028567647999</v>
      </c>
      <c r="E20" s="23">
        <f t="shared" si="2"/>
        <v>34.588420949224691</v>
      </c>
      <c r="F20" s="23">
        <f t="shared" ca="1" si="2"/>
        <v>484.57775502107813</v>
      </c>
      <c r="G20" s="23">
        <f t="shared" si="2"/>
        <v>0</v>
      </c>
      <c r="H20" s="23">
        <f t="shared" si="2"/>
        <v>0</v>
      </c>
      <c r="I20" s="23">
        <f t="shared" si="2"/>
        <v>0</v>
      </c>
      <c r="J20" s="23">
        <f t="shared" si="2"/>
        <v>7.7482593556022477E-3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1478.3577</v>
      </c>
      <c r="C26" s="39">
        <f>IF(ISERROR(B26*3.6/1000000/'E Balans VL '!Z12*100),0,B26*3.6/1000000/'E Balans VL '!Z12*100)</f>
        <v>3.1250139870235435E-2</v>
      </c>
      <c r="D26" s="237" t="s">
        <v>754</v>
      </c>
      <c r="F26" s="6"/>
    </row>
    <row r="27" spans="1:18">
      <c r="A27" s="231" t="s">
        <v>53</v>
      </c>
      <c r="B27" s="33">
        <f>IF(ISERROR(TER_horeca_ele_kWh/1000),0,TER_horeca_ele_kWh/1000)</f>
        <v>2594.8359999999998</v>
      </c>
      <c r="C27" s="39">
        <f>IF(ISERROR(B27*3.6/1000000/'E Balans VL '!Z9*100),0,B27*3.6/1000000/'E Balans VL '!Z9*100)</f>
        <v>0.20454995473524826</v>
      </c>
      <c r="D27" s="237" t="s">
        <v>754</v>
      </c>
      <c r="F27" s="6"/>
    </row>
    <row r="28" spans="1:18">
      <c r="A28" s="171" t="s">
        <v>52</v>
      </c>
      <c r="B28" s="33">
        <f>IF(ISERROR(TER_handel_ele_kWh/1000),0,TER_handel_ele_kWh/1000)</f>
        <v>3113.096</v>
      </c>
      <c r="C28" s="39">
        <f>IF(ISERROR(B28*3.6/1000000/'E Balans VL '!Z13*100),0,B28*3.6/1000000/'E Balans VL '!Z13*100)</f>
        <v>9.035462423731723E-2</v>
      </c>
      <c r="D28" s="237" t="s">
        <v>754</v>
      </c>
      <c r="F28" s="6"/>
    </row>
    <row r="29" spans="1:18">
      <c r="A29" s="231" t="s">
        <v>51</v>
      </c>
      <c r="B29" s="33">
        <f>IF(ISERROR(TER_gezond_ele_kWh/1000),0,TER_gezond_ele_kWh/1000)</f>
        <v>2624.8939999999998</v>
      </c>
      <c r="C29" s="39">
        <f>IF(ISERROR(B29*3.6/1000000/'E Balans VL '!Z10*100),0,B29*3.6/1000000/'E Balans VL '!Z10*100)</f>
        <v>0.27644444009720348</v>
      </c>
      <c r="D29" s="237" t="s">
        <v>754</v>
      </c>
      <c r="F29" s="6"/>
    </row>
    <row r="30" spans="1:18">
      <c r="A30" s="231" t="s">
        <v>50</v>
      </c>
      <c r="B30" s="33">
        <f>IF(ISERROR(TER_ander_ele_kWh/1000),0,TER_ander_ele_kWh/1000)</f>
        <v>1008.369</v>
      </c>
      <c r="C30" s="39">
        <f>IF(ISERROR(B30*3.6/1000000/'E Balans VL '!Z14*100),0,B30*3.6/1000000/'E Balans VL '!Z14*100)</f>
        <v>7.4377516456657328E-2</v>
      </c>
      <c r="D30" s="237" t="s">
        <v>754</v>
      </c>
      <c r="F30" s="6"/>
    </row>
    <row r="31" spans="1:18">
      <c r="A31" s="231" t="s">
        <v>55</v>
      </c>
      <c r="B31" s="33">
        <f>IF(ISERROR(TER_onderwijs_ele_kWh/1000),0,TER_onderwijs_ele_kWh/1000)</f>
        <v>61.445999999999998</v>
      </c>
      <c r="C31" s="39">
        <f>IF(ISERROR(B31*3.6/1000000/'E Balans VL '!Z11*100),0,B31*3.6/1000000/'E Balans VL '!Z11*100)</f>
        <v>1.5259920100149022E-2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6612.9459000000006</v>
      </c>
      <c r="C5" s="17">
        <f>IF(ISERROR('Eigen informatie GS &amp; warmtenet'!B59),0,'Eigen informatie GS &amp; warmtenet'!B59)</f>
        <v>0</v>
      </c>
      <c r="D5" s="30">
        <f>SUM(D6:D15)</f>
        <v>506.11562759999998</v>
      </c>
      <c r="E5" s="17">
        <f>SUM(E6:E15)</f>
        <v>305.62316930103452</v>
      </c>
      <c r="F5" s="17">
        <f>SUM(F6:F15)</f>
        <v>2187.9179427626295</v>
      </c>
      <c r="G5" s="18"/>
      <c r="H5" s="17"/>
      <c r="I5" s="17"/>
      <c r="J5" s="17">
        <f>SUM(J6:J15)</f>
        <v>7.8443236222884742</v>
      </c>
      <c r="K5" s="17"/>
      <c r="L5" s="17"/>
      <c r="M5" s="17"/>
      <c r="N5" s="17">
        <f>SUM(N6:N15)</f>
        <v>1252.5958863073704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1088.027</v>
      </c>
      <c r="C8" s="33"/>
      <c r="D8" s="37">
        <f>IF( ISERROR(IND_metaal_Gas_kWH/1000),0,IND_metaal_Gas_kWH/1000)*0.902</f>
        <v>224.294026</v>
      </c>
      <c r="E8" s="33">
        <f>C30*'E Balans VL '!I18/100/3.6*1000000</f>
        <v>10.00335743853001</v>
      </c>
      <c r="F8" s="33">
        <f>C30*'E Balans VL '!L18/100/3.6*1000000+C30*'E Balans VL '!N18/100/3.6*1000000</f>
        <v>102.02070851440199</v>
      </c>
      <c r="G8" s="34"/>
      <c r="H8" s="33"/>
      <c r="I8" s="33"/>
      <c r="J8" s="40">
        <f>C30*'E Balans VL '!D18/100/3.6*1000000+C30*'E Balans VL '!E18/100/3.6*1000000</f>
        <v>0</v>
      </c>
      <c r="K8" s="33"/>
      <c r="L8" s="33"/>
      <c r="M8" s="33"/>
      <c r="N8" s="33">
        <f>C30*'E Balans VL '!Y18/100/3.6*1000000</f>
        <v>15.522503195334862</v>
      </c>
      <c r="O8" s="33"/>
      <c r="P8" s="33"/>
      <c r="R8" s="32"/>
    </row>
    <row r="9" spans="1:18">
      <c r="A9" s="6" t="s">
        <v>33</v>
      </c>
      <c r="B9" s="37">
        <f t="shared" si="0"/>
        <v>536.40089999999998</v>
      </c>
      <c r="C9" s="33"/>
      <c r="D9" s="37">
        <f>IF( ISERROR(IND_andere_gas_kWh/1000),0,IND_andere_gas_kWh/1000)*0.902</f>
        <v>239.0496636</v>
      </c>
      <c r="E9" s="33">
        <f>C31*'E Balans VL '!I19/100/3.6*1000000</f>
        <v>156.80042556383799</v>
      </c>
      <c r="F9" s="33">
        <f>C31*'E Balans VL '!L19/100/3.6*1000000+C31*'E Balans VL '!N19/100/3.6*1000000</f>
        <v>431.0387249673945</v>
      </c>
      <c r="G9" s="34"/>
      <c r="H9" s="33"/>
      <c r="I9" s="33"/>
      <c r="J9" s="40">
        <f>C31*'E Balans VL '!D19/100/3.6*1000000+C31*'E Balans VL '!E19/100/3.6*1000000</f>
        <v>0</v>
      </c>
      <c r="K9" s="33"/>
      <c r="L9" s="33"/>
      <c r="M9" s="33"/>
      <c r="N9" s="33">
        <f>C31*'E Balans VL '!Y19/100/3.6*1000000</f>
        <v>177.23517634814223</v>
      </c>
      <c r="O9" s="33"/>
      <c r="P9" s="33"/>
      <c r="R9" s="32"/>
    </row>
    <row r="10" spans="1:18">
      <c r="A10" s="6" t="s">
        <v>41</v>
      </c>
      <c r="B10" s="37">
        <f t="shared" si="0"/>
        <v>215.00299999999999</v>
      </c>
      <c r="C10" s="33"/>
      <c r="D10" s="37">
        <f>IF( ISERROR(IND_voed_gas_kWh/1000),0,IND_voed_gas_kWh/1000)*0.902</f>
        <v>42.771937999999999</v>
      </c>
      <c r="E10" s="33">
        <f>C32*'E Balans VL '!I20/100/3.6*1000000</f>
        <v>0.45484218016099842</v>
      </c>
      <c r="F10" s="33">
        <f>C32*'E Balans VL '!L20/100/3.6*1000000+C32*'E Balans VL '!N20/100/3.6*1000000</f>
        <v>13.670110359124267</v>
      </c>
      <c r="G10" s="34"/>
      <c r="H10" s="33"/>
      <c r="I10" s="33"/>
      <c r="J10" s="40">
        <f>C32*'E Balans VL '!D20/100/3.6*1000000+C32*'E Balans VL '!E20/100/3.6*1000000</f>
        <v>0</v>
      </c>
      <c r="K10" s="33"/>
      <c r="L10" s="33"/>
      <c r="M10" s="33"/>
      <c r="N10" s="33">
        <f>C32*'E Balans VL '!Y20/100/3.6*1000000</f>
        <v>14.837328701446889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4773.5150000000003</v>
      </c>
      <c r="C12" s="33"/>
      <c r="D12" s="37">
        <f>IF( ISERROR(IND_min_gas_kWh/1000),0,IND_min_gas_kWh/1000)*0.902</f>
        <v>0</v>
      </c>
      <c r="E12" s="33">
        <f>C34*'E Balans VL '!I22/100/3.6*1000000</f>
        <v>138.36454411850556</v>
      </c>
      <c r="F12" s="33">
        <f>C34*'E Balans VL '!L22/100/3.6*1000000+C34*'E Balans VL '!N22/100/3.6*1000000</f>
        <v>1641.1883989217088</v>
      </c>
      <c r="G12" s="34"/>
      <c r="H12" s="33"/>
      <c r="I12" s="33"/>
      <c r="J12" s="40">
        <f>C34*'E Balans VL '!D22/100/3.6*1000000+C34*'E Balans VL '!E22/100/3.6*1000000</f>
        <v>7.8443236222884742</v>
      </c>
      <c r="K12" s="33"/>
      <c r="L12" s="33"/>
      <c r="M12" s="33"/>
      <c r="N12" s="33">
        <f>C34*'E Balans VL '!Y22/100/3.6*1000000</f>
        <v>1045.0008780624464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6612.9459000000006</v>
      </c>
      <c r="C18" s="21">
        <f>C5+C16</f>
        <v>0</v>
      </c>
      <c r="D18" s="21">
        <f>MAX((D5+D16),0)</f>
        <v>506.11562759999998</v>
      </c>
      <c r="E18" s="21">
        <f>MAX((E5+E16),0)</f>
        <v>305.62316930103452</v>
      </c>
      <c r="F18" s="21">
        <f>MAX((F5+F16),0)</f>
        <v>2187.9179427626295</v>
      </c>
      <c r="G18" s="21"/>
      <c r="H18" s="21"/>
      <c r="I18" s="21"/>
      <c r="J18" s="21">
        <f>MAX((J5+J16),0)</f>
        <v>7.8443236222884742</v>
      </c>
      <c r="K18" s="21"/>
      <c r="L18" s="21">
        <f>MAX((L5+L16),0)</f>
        <v>0</v>
      </c>
      <c r="M18" s="21"/>
      <c r="N18" s="21">
        <f>MAX((N5+N16),0)</f>
        <v>1252.5958863073704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8.8257234339634824E-2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583.64031597162739</v>
      </c>
      <c r="C22" s="23">
        <f ca="1">C18*C20</f>
        <v>0</v>
      </c>
      <c r="D22" s="23">
        <f>D18*D20</f>
        <v>102.2353567752</v>
      </c>
      <c r="E22" s="23">
        <f>E18*E20</f>
        <v>69.376459431334837</v>
      </c>
      <c r="F22" s="23">
        <f>F18*F20</f>
        <v>584.17409071762211</v>
      </c>
      <c r="G22" s="23"/>
      <c r="H22" s="23"/>
      <c r="I22" s="23"/>
      <c r="J22" s="23">
        <f>J18*J20</f>
        <v>2.7768905622901197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1088.027</v>
      </c>
      <c r="C30" s="39">
        <f>IF(ISERROR(B30*3.6/1000000/'E Balans VL '!Z18*100),0,B30*3.6/1000000/'E Balans VL '!Z18*100)</f>
        <v>6.1661279973699898E-2</v>
      </c>
      <c r="D30" s="237" t="s">
        <v>754</v>
      </c>
    </row>
    <row r="31" spans="1:18">
      <c r="A31" s="6" t="s">
        <v>33</v>
      </c>
      <c r="B31" s="37">
        <f>IF( ISERROR(IND_ander_ele_kWh/1000),0,IND_ander_ele_kWh/1000)</f>
        <v>536.40089999999998</v>
      </c>
      <c r="C31" s="39">
        <f>IF(ISERROR(B31*3.6/1000000/'E Balans VL '!Z19*100),0,B31*3.6/1000000/'E Balans VL '!Z19*100)</f>
        <v>2.4328911289526384E-2</v>
      </c>
      <c r="D31" s="237" t="s">
        <v>754</v>
      </c>
    </row>
    <row r="32" spans="1:18">
      <c r="A32" s="171" t="s">
        <v>41</v>
      </c>
      <c r="B32" s="37">
        <f>IF( ISERROR(IND_voed_ele_kWh/1000),0,IND_voed_ele_kWh/1000)</f>
        <v>215.00299999999999</v>
      </c>
      <c r="C32" s="39">
        <f>IF(ISERROR(B32*3.6/1000000/'E Balans VL '!Z20*100),0,B32*3.6/1000000/'E Balans VL '!Z20*100)</f>
        <v>6.6510188212083234E-3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4773.5150000000003</v>
      </c>
      <c r="C34" s="39">
        <f>IF(ISERROR(B34*3.6/1000000/'E Balans VL '!Z22*100),0,B34*3.6/1000000/'E Balans VL '!Z22*100)</f>
        <v>0.85860641654723679</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352.27</v>
      </c>
      <c r="C5" s="17">
        <f>'Eigen informatie GS &amp; warmtenet'!B60</f>
        <v>0</v>
      </c>
      <c r="D5" s="30">
        <f>IF(ISERROR(SUM(LB_lb_gas_kWh,LB_rest_gas_kWh,onbekend_gas_kWh)/1000),0,SUM(LB_lb_gas_kWh,LB_rest_gas_kWh,onbekend_gas_kWh)/1000)*0.902</f>
        <v>0</v>
      </c>
      <c r="E5" s="17">
        <f>B17*'E Balans VL '!I25/3.6*1000000/100</f>
        <v>10.354291256768542</v>
      </c>
      <c r="F5" s="17">
        <f>B17*('E Balans VL '!L25/3.6*1000000+'E Balans VL '!N25/3.6*1000000)/100</f>
        <v>1467.5377843283379</v>
      </c>
      <c r="G5" s="18"/>
      <c r="H5" s="17"/>
      <c r="I5" s="17"/>
      <c r="J5" s="17">
        <f>('E Balans VL '!D25+'E Balans VL '!E25)/3.6*1000000*landbouw!B17/100</f>
        <v>51.036357915153324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352.27</v>
      </c>
      <c r="C8" s="21">
        <f>C5+C6</f>
        <v>0</v>
      </c>
      <c r="D8" s="21">
        <f>MAX((D5+D6),0)</f>
        <v>0</v>
      </c>
      <c r="E8" s="21">
        <f>MAX((E5+E6),0)</f>
        <v>10.354291256768542</v>
      </c>
      <c r="F8" s="21">
        <f>MAX((F5+F6),0)</f>
        <v>1467.5377843283379</v>
      </c>
      <c r="G8" s="21"/>
      <c r="H8" s="21"/>
      <c r="I8" s="21"/>
      <c r="J8" s="21">
        <f>MAX((J5+J6),0)</f>
        <v>51.036357915153324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8.8257234339634824E-2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31.090375940823158</v>
      </c>
      <c r="C12" s="23">
        <f ca="1">C8*C10</f>
        <v>0</v>
      </c>
      <c r="D12" s="23">
        <f>D8*D10</f>
        <v>0</v>
      </c>
      <c r="E12" s="23">
        <f>E8*E10</f>
        <v>2.3504241152864593</v>
      </c>
      <c r="F12" s="23">
        <f>F8*F10</f>
        <v>391.83258841566624</v>
      </c>
      <c r="G12" s="23"/>
      <c r="H12" s="23"/>
      <c r="I12" s="23"/>
      <c r="J12" s="23">
        <f>J8*J10</f>
        <v>18.066870701964277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4.9988218213419422E-2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21.173611335427026</v>
      </c>
      <c r="C26" s="247">
        <f>B26*'GWP N2O_CH4'!B5</f>
        <v>444.64583804396756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3.1493738728468426</v>
      </c>
      <c r="C27" s="247">
        <f>B27*'GWP N2O_CH4'!B5</f>
        <v>66.136851329783696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0.33492617337906805</v>
      </c>
      <c r="C28" s="247">
        <f>B28*'GWP N2O_CH4'!B4</f>
        <v>103.82711374751109</v>
      </c>
      <c r="D28" s="50"/>
    </row>
    <row r="29" spans="1:4">
      <c r="A29" s="41" t="s">
        <v>277</v>
      </c>
      <c r="B29" s="247">
        <f>B34*'ha_N2O bodem landbouw'!B4</f>
        <v>2.5728276978520128</v>
      </c>
      <c r="C29" s="247">
        <f>B29*'GWP N2O_CH4'!B4</f>
        <v>797.57658633412393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5.871104142911441E-4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1.2896657874111631E-4</v>
      </c>
      <c r="C5" s="463" t="s">
        <v>211</v>
      </c>
      <c r="D5" s="448">
        <f>SUM(D6:D11)</f>
        <v>4.32311980703098E-4</v>
      </c>
      <c r="E5" s="448">
        <f>SUM(E6:E11)</f>
        <v>6.1360115230787212E-4</v>
      </c>
      <c r="F5" s="461" t="s">
        <v>211</v>
      </c>
      <c r="G5" s="448">
        <f>SUM(G6:G11)</f>
        <v>0.21435400938459259</v>
      </c>
      <c r="H5" s="448">
        <f>SUM(H6:H11)</f>
        <v>4.9339369527574353E-2</v>
      </c>
      <c r="I5" s="463" t="s">
        <v>211</v>
      </c>
      <c r="J5" s="463" t="s">
        <v>211</v>
      </c>
      <c r="K5" s="463" t="s">
        <v>211</v>
      </c>
      <c r="L5" s="463" t="s">
        <v>211</v>
      </c>
      <c r="M5" s="448">
        <f>SUM(M6:M11)</f>
        <v>1.3988107213489202E-2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8.0394798352709248E-5</v>
      </c>
      <c r="C6" s="449"/>
      <c r="D6" s="962">
        <f>vkm_2011_GW_PW*SUMIFS(TableVerdeelsleutelVkm[CNG],TableVerdeelsleutelVkm[Voertuigtype],"Lichte voertuigen")*SUMIFS(TableECFTransport[EnergieConsumptieFactor (PJ per km)],TableECFTransport[Index],CONCATENATE($A6,"_CNG_CNG"))</f>
        <v>2.411382526410331E-4</v>
      </c>
      <c r="E6" s="962">
        <f>vkm_2011_GW_PW*SUMIFS(TableVerdeelsleutelVkm[LPG],TableVerdeelsleutelVkm[Voertuigtype],"Lichte voertuigen")*SUMIFS(TableECFTransport[EnergieConsumptieFactor (PJ per km)],TableECFTransport[Index],CONCATENATE($A6,"_LPG_LPG"))</f>
        <v>3.2942949091061403E-4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8.5175365066906955E-2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2.7421904468834132E-2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5.7902086614654283E-3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2.3387880221569492E-2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7.1269038888724092E-6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1.3667100606780129E-3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1.7662793007480216E-5</v>
      </c>
      <c r="C8" s="449"/>
      <c r="D8" s="451">
        <f>vkm_2011_NGW_PW*SUMIFS(TableVerdeelsleutelVkm[CNG],TableVerdeelsleutelVkm[Voertuigtype],"Lichte voertuigen")*SUMIFS(TableECFTransport[EnergieConsumptieFactor (PJ per km)],TableECFTransport[Index],CONCATENATE($A8,"_CNG_CNG"))</f>
        <v>9.4195906870746373E-5</v>
      </c>
      <c r="E8" s="451">
        <f>vkm_2011_NGW_PW*SUMIFS(TableVerdeelsleutelVkm[LPG],TableVerdeelsleutelVkm[Voertuigtype],"Lichte voertuigen")*SUMIFS(TableECFTransport[EnergieConsumptieFactor (PJ per km)],TableECFTransport[Index],CONCATENATE($A8,"_LPG_LPG"))</f>
        <v>1.1917704144342682E-4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2.8715126456586332E-2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1.0409549303231831E-2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1.9866103752028447E-3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2.9089581052266602E-4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8.3450310993951059E-8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1.6998831160591391E-5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3.0908987380926833E-5</v>
      </c>
      <c r="C10" s="449"/>
      <c r="D10" s="451">
        <f>vkm_2011_SW_PW*SUMIFS(TableVerdeelsleutelVkm[CNG],TableVerdeelsleutelVkm[Voertuigtype],"Lichte voertuigen")*SUMIFS(TableECFTransport[EnergieConsumptieFactor (PJ per km)],TableECFTransport[Index],CONCATENATE($A10,"_CNG_CNG"))</f>
        <v>9.6977821191318481E-5</v>
      </c>
      <c r="E10" s="451">
        <f>vkm_2011_SW_PW*SUMIFS(TableVerdeelsleutelVkm[LPG],TableVerdeelsleutelVkm[Voertuigtype],"Lichte voertuigen")*SUMIFS(TableECFTransport[EnergieConsumptieFactor (PJ per km)],TableECFTransport[Index],CONCATENATE($A10,"_LPG_LPG"))</f>
        <v>1.6499461995383129E-4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3.8031633727270461E-2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1.148795287852988E-2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2.5629483355212985E-3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3.8753108101736718E-2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1.2752522778643181E-5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2.264630949461026E-3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35.824049650310087</v>
      </c>
      <c r="C14" s="21"/>
      <c r="D14" s="21">
        <f t="shared" ref="D14:M14" si="0">((D5)*10^9/3600)+D12</f>
        <v>120.0866613064161</v>
      </c>
      <c r="E14" s="21">
        <f t="shared" si="0"/>
        <v>170.44476452996446</v>
      </c>
      <c r="F14" s="21"/>
      <c r="G14" s="21">
        <f t="shared" si="0"/>
        <v>59542.780384609054</v>
      </c>
      <c r="H14" s="21">
        <f t="shared" si="0"/>
        <v>13705.380424326209</v>
      </c>
      <c r="I14" s="21"/>
      <c r="J14" s="21"/>
      <c r="K14" s="21"/>
      <c r="L14" s="21"/>
      <c r="M14" s="21">
        <f t="shared" si="0"/>
        <v>3885.5853370803334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8.8257234339634824E-2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3.1617315449821302</v>
      </c>
      <c r="C18" s="23"/>
      <c r="D18" s="23">
        <f t="shared" ref="D18:M18" si="1">D14*D16</f>
        <v>24.257505583896055</v>
      </c>
      <c r="E18" s="23">
        <f t="shared" si="1"/>
        <v>38.690961548301935</v>
      </c>
      <c r="F18" s="23"/>
      <c r="G18" s="23">
        <f t="shared" si="1"/>
        <v>15897.922362690619</v>
      </c>
      <c r="H18" s="23">
        <f t="shared" si="1"/>
        <v>3412.6397256572263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3.921065824312963E-3</v>
      </c>
      <c r="H50" s="321">
        <f t="shared" si="2"/>
        <v>0</v>
      </c>
      <c r="I50" s="321">
        <f t="shared" si="2"/>
        <v>0</v>
      </c>
      <c r="J50" s="321">
        <f t="shared" si="2"/>
        <v>0</v>
      </c>
      <c r="K50" s="321">
        <f t="shared" si="2"/>
        <v>0</v>
      </c>
      <c r="L50" s="321">
        <f t="shared" si="2"/>
        <v>0</v>
      </c>
      <c r="M50" s="321">
        <f t="shared" si="2"/>
        <v>2.2269922897638598E-4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3.921065824312963E-3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2.2269922897638598E-4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1089.1849511980454</v>
      </c>
      <c r="H54" s="21">
        <f t="shared" si="3"/>
        <v>0</v>
      </c>
      <c r="I54" s="21">
        <f t="shared" si="3"/>
        <v>0</v>
      </c>
      <c r="J54" s="21">
        <f t="shared" si="3"/>
        <v>0</v>
      </c>
      <c r="K54" s="21">
        <f t="shared" si="3"/>
        <v>0</v>
      </c>
      <c r="L54" s="21">
        <f t="shared" si="3"/>
        <v>0</v>
      </c>
      <c r="M54" s="21">
        <f t="shared" si="3"/>
        <v>61.860896937884995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8.8257234339634824E-2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290.81238196987812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17223.535465679979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2783.5276812951879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20007.063146975168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11526.671700000001</v>
      </c>
      <c r="D10" s="718">
        <f ca="1">tertiair!C16</f>
        <v>0</v>
      </c>
      <c r="E10" s="718">
        <f ca="1">tertiair!D16</f>
        <v>9600.0141423999994</v>
      </c>
      <c r="F10" s="718">
        <f>tertiair!E16</f>
        <v>152.37189845473432</v>
      </c>
      <c r="G10" s="718">
        <f ca="1">tertiair!F16</f>
        <v>1814.8979588804423</v>
      </c>
      <c r="H10" s="718">
        <f>tertiair!G16</f>
        <v>0</v>
      </c>
      <c r="I10" s="718">
        <f>tertiair!H16</f>
        <v>0</v>
      </c>
      <c r="J10" s="718">
        <f>tertiair!I16</f>
        <v>0</v>
      </c>
      <c r="K10" s="718">
        <f>tertiair!J16</f>
        <v>2.1887738292661718E-2</v>
      </c>
      <c r="L10" s="718">
        <f>tertiair!K16</f>
        <v>0</v>
      </c>
      <c r="M10" s="718">
        <f ca="1">tertiair!L16</f>
        <v>0</v>
      </c>
      <c r="N10" s="718">
        <f>tertiair!M16</f>
        <v>0</v>
      </c>
      <c r="O10" s="718">
        <f ca="1">tertiair!N16</f>
        <v>903.52945008549796</v>
      </c>
      <c r="P10" s="718">
        <f>tertiair!O16</f>
        <v>0</v>
      </c>
      <c r="Q10" s="719">
        <f>tertiair!P16</f>
        <v>0</v>
      </c>
      <c r="R10" s="721">
        <f ca="1">SUM(C10:Q10)</f>
        <v>23997.507037558971</v>
      </c>
      <c r="S10" s="67"/>
    </row>
    <row r="11" spans="1:19" s="474" customFormat="1">
      <c r="A11" s="870" t="s">
        <v>225</v>
      </c>
      <c r="B11" s="875"/>
      <c r="C11" s="718">
        <f>huishoudens!B8</f>
        <v>14781.530729663153</v>
      </c>
      <c r="D11" s="718">
        <f>huishoudens!C8</f>
        <v>0</v>
      </c>
      <c r="E11" s="718">
        <f>huishoudens!D8</f>
        <v>19972.1168779</v>
      </c>
      <c r="F11" s="718">
        <f>huishoudens!E8</f>
        <v>849.83611960886299</v>
      </c>
      <c r="G11" s="718">
        <f>huishoudens!F8</f>
        <v>20961.745693617486</v>
      </c>
      <c r="H11" s="718">
        <f>huishoudens!G8</f>
        <v>0</v>
      </c>
      <c r="I11" s="718">
        <f>huishoudens!H8</f>
        <v>0</v>
      </c>
      <c r="J11" s="718">
        <f>huishoudens!I8</f>
        <v>0</v>
      </c>
      <c r="K11" s="718">
        <f>huishoudens!J8</f>
        <v>0</v>
      </c>
      <c r="L11" s="718">
        <f>huishoudens!K8</f>
        <v>0</v>
      </c>
      <c r="M11" s="718">
        <f>huishoudens!L8</f>
        <v>0</v>
      </c>
      <c r="N11" s="718">
        <f>huishoudens!M8</f>
        <v>0</v>
      </c>
      <c r="O11" s="718">
        <f>huishoudens!N8</f>
        <v>6564.7094847027602</v>
      </c>
      <c r="P11" s="718">
        <f>huishoudens!O8</f>
        <v>165.71333333333337</v>
      </c>
      <c r="Q11" s="719">
        <f>huishoudens!P8</f>
        <v>686.4</v>
      </c>
      <c r="R11" s="721">
        <f>SUM(C11:Q11)</f>
        <v>63982.052238825599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6612.9459000000006</v>
      </c>
      <c r="D13" s="718">
        <f>industrie!C18</f>
        <v>0</v>
      </c>
      <c r="E13" s="718">
        <f>industrie!D18</f>
        <v>506.11562759999998</v>
      </c>
      <c r="F13" s="718">
        <f>industrie!E18</f>
        <v>305.62316930103452</v>
      </c>
      <c r="G13" s="718">
        <f>industrie!F18</f>
        <v>2187.9179427626295</v>
      </c>
      <c r="H13" s="718">
        <f>industrie!G18</f>
        <v>0</v>
      </c>
      <c r="I13" s="718">
        <f>industrie!H18</f>
        <v>0</v>
      </c>
      <c r="J13" s="718">
        <f>industrie!I18</f>
        <v>0</v>
      </c>
      <c r="K13" s="718">
        <f>industrie!J18</f>
        <v>7.8443236222884742</v>
      </c>
      <c r="L13" s="718">
        <f>industrie!K18</f>
        <v>0</v>
      </c>
      <c r="M13" s="718">
        <f>industrie!L18</f>
        <v>0</v>
      </c>
      <c r="N13" s="718">
        <f>industrie!M18</f>
        <v>0</v>
      </c>
      <c r="O13" s="718">
        <f>industrie!N18</f>
        <v>1252.5958863073704</v>
      </c>
      <c r="P13" s="718">
        <f>industrie!O18</f>
        <v>0</v>
      </c>
      <c r="Q13" s="719">
        <f>industrie!P18</f>
        <v>0</v>
      </c>
      <c r="R13" s="721">
        <f>SUM(C13:Q13)</f>
        <v>10873.042849593323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32921.148329663156</v>
      </c>
      <c r="D15" s="723">
        <f t="shared" ref="D15:Q15" ca="1" si="0">SUM(D9:D14)</f>
        <v>0</v>
      </c>
      <c r="E15" s="723">
        <f t="shared" ca="1" si="0"/>
        <v>30078.2466479</v>
      </c>
      <c r="F15" s="723">
        <f t="shared" si="0"/>
        <v>1307.8311873646319</v>
      </c>
      <c r="G15" s="723">
        <f t="shared" ca="1" si="0"/>
        <v>24964.561595260559</v>
      </c>
      <c r="H15" s="723">
        <f t="shared" si="0"/>
        <v>0</v>
      </c>
      <c r="I15" s="723">
        <f t="shared" si="0"/>
        <v>0</v>
      </c>
      <c r="J15" s="723">
        <f t="shared" si="0"/>
        <v>0</v>
      </c>
      <c r="K15" s="723">
        <f t="shared" si="0"/>
        <v>7.8662113605811363</v>
      </c>
      <c r="L15" s="723">
        <f t="shared" si="0"/>
        <v>0</v>
      </c>
      <c r="M15" s="723">
        <f t="shared" ca="1" si="0"/>
        <v>0</v>
      </c>
      <c r="N15" s="723">
        <f t="shared" si="0"/>
        <v>0</v>
      </c>
      <c r="O15" s="723">
        <f t="shared" ca="1" si="0"/>
        <v>8720.8348210956283</v>
      </c>
      <c r="P15" s="723">
        <f t="shared" si="0"/>
        <v>165.71333333333337</v>
      </c>
      <c r="Q15" s="724">
        <f t="shared" si="0"/>
        <v>686.4</v>
      </c>
      <c r="R15" s="725">
        <f ca="1">SUM(R9:R14)</f>
        <v>98852.602125977894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1089.1849511980454</v>
      </c>
      <c r="I18" s="718">
        <f>transport!H54</f>
        <v>0</v>
      </c>
      <c r="J18" s="718">
        <f>transport!I54</f>
        <v>0</v>
      </c>
      <c r="K18" s="718">
        <f>transport!J54</f>
        <v>0</v>
      </c>
      <c r="L18" s="718">
        <f>transport!K54</f>
        <v>0</v>
      </c>
      <c r="M18" s="718">
        <f>transport!L54</f>
        <v>0</v>
      </c>
      <c r="N18" s="718">
        <f>transport!M54</f>
        <v>61.860896937884995</v>
      </c>
      <c r="O18" s="718">
        <f>transport!N54</f>
        <v>0</v>
      </c>
      <c r="P18" s="718">
        <f>transport!O54</f>
        <v>0</v>
      </c>
      <c r="Q18" s="719">
        <f>transport!P54</f>
        <v>0</v>
      </c>
      <c r="R18" s="721">
        <f>SUM(C18:Q18)</f>
        <v>1151.0458481359303</v>
      </c>
      <c r="S18" s="67"/>
    </row>
    <row r="19" spans="1:19" s="474" customFormat="1" ht="15" thickBot="1">
      <c r="A19" s="870" t="s">
        <v>307</v>
      </c>
      <c r="B19" s="875"/>
      <c r="C19" s="727">
        <f>transport!B14</f>
        <v>35.824049650310087</v>
      </c>
      <c r="D19" s="727">
        <f>transport!C14</f>
        <v>0</v>
      </c>
      <c r="E19" s="727">
        <f>transport!D14</f>
        <v>120.0866613064161</v>
      </c>
      <c r="F19" s="727">
        <f>transport!E14</f>
        <v>170.44476452996446</v>
      </c>
      <c r="G19" s="727">
        <f>transport!F14</f>
        <v>0</v>
      </c>
      <c r="H19" s="727">
        <f>transport!G14</f>
        <v>59542.780384609054</v>
      </c>
      <c r="I19" s="727">
        <f>transport!H14</f>
        <v>13705.380424326209</v>
      </c>
      <c r="J19" s="727">
        <f>transport!I14</f>
        <v>0</v>
      </c>
      <c r="K19" s="727">
        <f>transport!J14</f>
        <v>0</v>
      </c>
      <c r="L19" s="727">
        <f>transport!K14</f>
        <v>0</v>
      </c>
      <c r="M19" s="727">
        <f>transport!L14</f>
        <v>0</v>
      </c>
      <c r="N19" s="727">
        <f>transport!M14</f>
        <v>3885.5853370803334</v>
      </c>
      <c r="O19" s="727">
        <f>transport!N14</f>
        <v>0</v>
      </c>
      <c r="P19" s="727">
        <f>transport!O14</f>
        <v>0</v>
      </c>
      <c r="Q19" s="728">
        <f>transport!P14</f>
        <v>0</v>
      </c>
      <c r="R19" s="729">
        <f>SUM(C19:Q19)</f>
        <v>77460.101621502297</v>
      </c>
      <c r="S19" s="67"/>
    </row>
    <row r="20" spans="1:19" s="474" customFormat="1" ht="15.75" thickBot="1">
      <c r="A20" s="730" t="s">
        <v>230</v>
      </c>
      <c r="B20" s="878"/>
      <c r="C20" s="873">
        <f>SUM(C17:C19)</f>
        <v>35.824049650310087</v>
      </c>
      <c r="D20" s="731">
        <f t="shared" ref="D20:R20" si="1">SUM(D17:D19)</f>
        <v>0</v>
      </c>
      <c r="E20" s="731">
        <f t="shared" si="1"/>
        <v>120.0866613064161</v>
      </c>
      <c r="F20" s="731">
        <f t="shared" si="1"/>
        <v>170.44476452996446</v>
      </c>
      <c r="G20" s="731">
        <f t="shared" si="1"/>
        <v>0</v>
      </c>
      <c r="H20" s="731">
        <f t="shared" si="1"/>
        <v>60631.965335807101</v>
      </c>
      <c r="I20" s="731">
        <f t="shared" si="1"/>
        <v>13705.380424326209</v>
      </c>
      <c r="J20" s="731">
        <f t="shared" si="1"/>
        <v>0</v>
      </c>
      <c r="K20" s="731">
        <f t="shared" si="1"/>
        <v>0</v>
      </c>
      <c r="L20" s="731">
        <f t="shared" si="1"/>
        <v>0</v>
      </c>
      <c r="M20" s="731">
        <f t="shared" si="1"/>
        <v>0</v>
      </c>
      <c r="N20" s="731">
        <f t="shared" si="1"/>
        <v>3947.4462340182185</v>
      </c>
      <c r="O20" s="731">
        <f t="shared" si="1"/>
        <v>0</v>
      </c>
      <c r="P20" s="731">
        <f t="shared" si="1"/>
        <v>0</v>
      </c>
      <c r="Q20" s="732">
        <f t="shared" si="1"/>
        <v>0</v>
      </c>
      <c r="R20" s="733">
        <f t="shared" si="1"/>
        <v>78611.147469638221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352.27</v>
      </c>
      <c r="D22" s="727">
        <f>+landbouw!C8</f>
        <v>0</v>
      </c>
      <c r="E22" s="727">
        <f>+landbouw!D8</f>
        <v>0</v>
      </c>
      <c r="F22" s="727">
        <f>+landbouw!E8</f>
        <v>10.354291256768542</v>
      </c>
      <c r="G22" s="727">
        <f>+landbouw!F8</f>
        <v>1467.5377843283379</v>
      </c>
      <c r="H22" s="727">
        <f>+landbouw!G8</f>
        <v>0</v>
      </c>
      <c r="I22" s="727">
        <f>+landbouw!H8</f>
        <v>0</v>
      </c>
      <c r="J22" s="727">
        <f>+landbouw!I8</f>
        <v>0</v>
      </c>
      <c r="K22" s="727">
        <f>+landbouw!J8</f>
        <v>51.036357915153324</v>
      </c>
      <c r="L22" s="727">
        <f>+landbouw!K8</f>
        <v>0</v>
      </c>
      <c r="M22" s="727">
        <f>+landbouw!L8</f>
        <v>0</v>
      </c>
      <c r="N22" s="727">
        <f>+landbouw!M8</f>
        <v>0</v>
      </c>
      <c r="O22" s="727">
        <f>+landbouw!N8</f>
        <v>0</v>
      </c>
      <c r="P22" s="727">
        <f>+landbouw!O8</f>
        <v>0</v>
      </c>
      <c r="Q22" s="728">
        <f>+landbouw!P8</f>
        <v>0</v>
      </c>
      <c r="R22" s="729">
        <f>SUM(C22:Q22)</f>
        <v>1881.1984335002596</v>
      </c>
      <c r="S22" s="67"/>
    </row>
    <row r="23" spans="1:19" s="474" customFormat="1" ht="17.25" thickTop="1" thickBot="1">
      <c r="A23" s="734" t="s">
        <v>116</v>
      </c>
      <c r="B23" s="864"/>
      <c r="C23" s="735">
        <f ca="1">C20+C15+C22</f>
        <v>33309.242379313466</v>
      </c>
      <c r="D23" s="735">
        <f t="shared" ref="D23:Q23" ca="1" si="2">D20+D15+D22</f>
        <v>0</v>
      </c>
      <c r="E23" s="735">
        <f t="shared" ca="1" si="2"/>
        <v>30198.333309206417</v>
      </c>
      <c r="F23" s="735">
        <f t="shared" si="2"/>
        <v>1488.630243151365</v>
      </c>
      <c r="G23" s="735">
        <f t="shared" ca="1" si="2"/>
        <v>26432.099379588897</v>
      </c>
      <c r="H23" s="735">
        <f t="shared" si="2"/>
        <v>60631.965335807101</v>
      </c>
      <c r="I23" s="735">
        <f t="shared" si="2"/>
        <v>13705.380424326209</v>
      </c>
      <c r="J23" s="735">
        <f t="shared" si="2"/>
        <v>0</v>
      </c>
      <c r="K23" s="735">
        <f t="shared" si="2"/>
        <v>58.902569275734464</v>
      </c>
      <c r="L23" s="735">
        <f t="shared" si="2"/>
        <v>0</v>
      </c>
      <c r="M23" s="735">
        <f t="shared" ca="1" si="2"/>
        <v>0</v>
      </c>
      <c r="N23" s="735">
        <f t="shared" si="2"/>
        <v>3947.4462340182185</v>
      </c>
      <c r="O23" s="735">
        <f t="shared" ca="1" si="2"/>
        <v>8720.8348210956283</v>
      </c>
      <c r="P23" s="735">
        <f t="shared" si="2"/>
        <v>165.71333333333337</v>
      </c>
      <c r="Q23" s="736">
        <f t="shared" si="2"/>
        <v>686.4</v>
      </c>
      <c r="R23" s="737">
        <f ca="1">R20+R15+R22</f>
        <v>179344.94802911638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1017.3121653829369</v>
      </c>
      <c r="D36" s="718">
        <f ca="1">tertiair!C20</f>
        <v>0</v>
      </c>
      <c r="E36" s="718">
        <f ca="1">tertiair!D20</f>
        <v>1939.2028567647999</v>
      </c>
      <c r="F36" s="718">
        <f>tertiair!E20</f>
        <v>34.588420949224691</v>
      </c>
      <c r="G36" s="718">
        <f ca="1">tertiair!F20</f>
        <v>484.57775502107813</v>
      </c>
      <c r="H36" s="718">
        <f>tertiair!G20</f>
        <v>0</v>
      </c>
      <c r="I36" s="718">
        <f>tertiair!H20</f>
        <v>0</v>
      </c>
      <c r="J36" s="718">
        <f>tertiair!I20</f>
        <v>0</v>
      </c>
      <c r="K36" s="718">
        <f>tertiair!J20</f>
        <v>7.7482593556022477E-3</v>
      </c>
      <c r="L36" s="718">
        <f>tertiair!K20</f>
        <v>0</v>
      </c>
      <c r="M36" s="718">
        <f ca="1">tertiair!L20</f>
        <v>0</v>
      </c>
      <c r="N36" s="718">
        <f>tertiair!M20</f>
        <v>0</v>
      </c>
      <c r="O36" s="718">
        <f ca="1">tertiair!N20</f>
        <v>0</v>
      </c>
      <c r="P36" s="718">
        <f>tertiair!O20</f>
        <v>0</v>
      </c>
      <c r="Q36" s="828">
        <f>tertiair!P20</f>
        <v>0</v>
      </c>
      <c r="R36" s="917">
        <f ca="1">SUM(C36:Q36)</f>
        <v>3475.6889463773955</v>
      </c>
    </row>
    <row r="37" spans="1:18">
      <c r="A37" s="885" t="s">
        <v>225</v>
      </c>
      <c r="B37" s="892"/>
      <c r="C37" s="718">
        <f ca="1">huishoudens!B12</f>
        <v>1304.5770215063942</v>
      </c>
      <c r="D37" s="718">
        <f ca="1">huishoudens!C12</f>
        <v>0</v>
      </c>
      <c r="E37" s="718">
        <f>huishoudens!D12</f>
        <v>4034.3676093358004</v>
      </c>
      <c r="F37" s="718">
        <f>huishoudens!E12</f>
        <v>192.91279915121191</v>
      </c>
      <c r="G37" s="718">
        <f>huishoudens!F12</f>
        <v>5596.786100195869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11128.643530189276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583.64031597162739</v>
      </c>
      <c r="D39" s="718">
        <f ca="1">industrie!C22</f>
        <v>0</v>
      </c>
      <c r="E39" s="718">
        <f>industrie!D22</f>
        <v>102.2353567752</v>
      </c>
      <c r="F39" s="718">
        <f>industrie!E22</f>
        <v>69.376459431334837</v>
      </c>
      <c r="G39" s="718">
        <f>industrie!F22</f>
        <v>584.17409071762211</v>
      </c>
      <c r="H39" s="718">
        <f>industrie!G22</f>
        <v>0</v>
      </c>
      <c r="I39" s="718">
        <f>industrie!H22</f>
        <v>0</v>
      </c>
      <c r="J39" s="718">
        <f>industrie!I22</f>
        <v>0</v>
      </c>
      <c r="K39" s="718">
        <f>industrie!J22</f>
        <v>2.7768905622901197</v>
      </c>
      <c r="L39" s="718">
        <f>industrie!K22</f>
        <v>0</v>
      </c>
      <c r="M39" s="718">
        <f>industrie!L22</f>
        <v>0</v>
      </c>
      <c r="N39" s="718">
        <f>industrie!M22</f>
        <v>0</v>
      </c>
      <c r="O39" s="718">
        <f>industrie!N22</f>
        <v>0</v>
      </c>
      <c r="P39" s="718">
        <f>industrie!O22</f>
        <v>0</v>
      </c>
      <c r="Q39" s="828">
        <f>industrie!P22</f>
        <v>0</v>
      </c>
      <c r="R39" s="918">
        <f ca="1">SUM(C39:Q39)</f>
        <v>1342.2031134580745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2905.5295028609585</v>
      </c>
      <c r="D41" s="763">
        <f t="shared" ref="D41:R41" ca="1" si="4">SUM(D35:D40)</f>
        <v>0</v>
      </c>
      <c r="E41" s="763">
        <f t="shared" ca="1" si="4"/>
        <v>6075.8058228758</v>
      </c>
      <c r="F41" s="763">
        <f t="shared" si="4"/>
        <v>296.87767953177143</v>
      </c>
      <c r="G41" s="763">
        <f t="shared" ca="1" si="4"/>
        <v>6665.5379459345686</v>
      </c>
      <c r="H41" s="763">
        <f t="shared" si="4"/>
        <v>0</v>
      </c>
      <c r="I41" s="763">
        <f t="shared" si="4"/>
        <v>0</v>
      </c>
      <c r="J41" s="763">
        <f t="shared" si="4"/>
        <v>0</v>
      </c>
      <c r="K41" s="763">
        <f t="shared" si="4"/>
        <v>2.7846388216457219</v>
      </c>
      <c r="L41" s="763">
        <f t="shared" si="4"/>
        <v>0</v>
      </c>
      <c r="M41" s="763">
        <f t="shared" ca="1" si="4"/>
        <v>0</v>
      </c>
      <c r="N41" s="763">
        <f t="shared" si="4"/>
        <v>0</v>
      </c>
      <c r="O41" s="763">
        <f t="shared" ca="1" si="4"/>
        <v>0</v>
      </c>
      <c r="P41" s="763">
        <f t="shared" si="4"/>
        <v>0</v>
      </c>
      <c r="Q41" s="764">
        <f t="shared" si="4"/>
        <v>0</v>
      </c>
      <c r="R41" s="765">
        <f t="shared" ca="1" si="4"/>
        <v>15946.535590024745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290.81238196987812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290.81238196987812</v>
      </c>
    </row>
    <row r="45" spans="1:18" ht="15" thickBot="1">
      <c r="A45" s="888" t="s">
        <v>307</v>
      </c>
      <c r="B45" s="898"/>
      <c r="C45" s="727">
        <f ca="1">transport!B18</f>
        <v>3.1617315449821302</v>
      </c>
      <c r="D45" s="727">
        <f>transport!C18</f>
        <v>0</v>
      </c>
      <c r="E45" s="727">
        <f>transport!D18</f>
        <v>24.257505583896055</v>
      </c>
      <c r="F45" s="727">
        <f>transport!E18</f>
        <v>38.690961548301935</v>
      </c>
      <c r="G45" s="727">
        <f>transport!F18</f>
        <v>0</v>
      </c>
      <c r="H45" s="727">
        <f>transport!G18</f>
        <v>15897.922362690619</v>
      </c>
      <c r="I45" s="727">
        <f>transport!H18</f>
        <v>3412.6397256572263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19376.672287025027</v>
      </c>
    </row>
    <row r="46" spans="1:18" ht="15.75" thickBot="1">
      <c r="A46" s="886" t="s">
        <v>230</v>
      </c>
      <c r="B46" s="899"/>
      <c r="C46" s="763">
        <f t="shared" ref="C46:R46" ca="1" si="5">SUM(C43:C45)</f>
        <v>3.1617315449821302</v>
      </c>
      <c r="D46" s="763">
        <f t="shared" ca="1" si="5"/>
        <v>0</v>
      </c>
      <c r="E46" s="763">
        <f t="shared" si="5"/>
        <v>24.257505583896055</v>
      </c>
      <c r="F46" s="763">
        <f t="shared" si="5"/>
        <v>38.690961548301935</v>
      </c>
      <c r="G46" s="763">
        <f t="shared" si="5"/>
        <v>0</v>
      </c>
      <c r="H46" s="763">
        <f t="shared" si="5"/>
        <v>16188.734744660496</v>
      </c>
      <c r="I46" s="763">
        <f t="shared" si="5"/>
        <v>3412.6397256572263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19667.484668994904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31.090375940823158</v>
      </c>
      <c r="D48" s="718">
        <f ca="1">+landbouw!C12</f>
        <v>0</v>
      </c>
      <c r="E48" s="718">
        <f>+landbouw!D12</f>
        <v>0</v>
      </c>
      <c r="F48" s="718">
        <f>+landbouw!E12</f>
        <v>2.3504241152864593</v>
      </c>
      <c r="G48" s="718">
        <f>+landbouw!F12</f>
        <v>391.83258841566624</v>
      </c>
      <c r="H48" s="718">
        <f>+landbouw!G12</f>
        <v>0</v>
      </c>
      <c r="I48" s="718">
        <f>+landbouw!H12</f>
        <v>0</v>
      </c>
      <c r="J48" s="718">
        <f>+landbouw!I12</f>
        <v>0</v>
      </c>
      <c r="K48" s="718">
        <f>+landbouw!J12</f>
        <v>18.066870701964277</v>
      </c>
      <c r="L48" s="718">
        <f>+landbouw!K12</f>
        <v>0</v>
      </c>
      <c r="M48" s="718">
        <f>+landbouw!L12</f>
        <v>0</v>
      </c>
      <c r="N48" s="718">
        <f>+landbouw!M12</f>
        <v>0</v>
      </c>
      <c r="O48" s="718">
        <f>+landbouw!N12</f>
        <v>0</v>
      </c>
      <c r="P48" s="718">
        <f>+landbouw!O12</f>
        <v>0</v>
      </c>
      <c r="Q48" s="719">
        <f>+landbouw!P12</f>
        <v>0</v>
      </c>
      <c r="R48" s="761">
        <f ca="1">SUM(C48:Q48)</f>
        <v>443.34025917374009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2939.781610346764</v>
      </c>
      <c r="D53" s="773">
        <f t="shared" ref="D53:Q53" ca="1" si="6">D41+D46+D48</f>
        <v>0</v>
      </c>
      <c r="E53" s="773">
        <f t="shared" ca="1" si="6"/>
        <v>6100.0633284596961</v>
      </c>
      <c r="F53" s="773">
        <f t="shared" si="6"/>
        <v>337.91906519535979</v>
      </c>
      <c r="G53" s="773">
        <f t="shared" ca="1" si="6"/>
        <v>7057.3705343502352</v>
      </c>
      <c r="H53" s="773">
        <f t="shared" si="6"/>
        <v>16188.734744660496</v>
      </c>
      <c r="I53" s="773">
        <f t="shared" si="6"/>
        <v>3412.6397256572263</v>
      </c>
      <c r="J53" s="773">
        <f t="shared" si="6"/>
        <v>0</v>
      </c>
      <c r="K53" s="773">
        <f t="shared" si="6"/>
        <v>20.851509523609998</v>
      </c>
      <c r="L53" s="773">
        <f t="shared" si="6"/>
        <v>0</v>
      </c>
      <c r="M53" s="773">
        <f t="shared" ca="1" si="6"/>
        <v>0</v>
      </c>
      <c r="N53" s="773">
        <f t="shared" si="6"/>
        <v>0</v>
      </c>
      <c r="O53" s="773">
        <f t="shared" ca="1" si="6"/>
        <v>0</v>
      </c>
      <c r="P53" s="773">
        <f>P41+P46+P48</f>
        <v>0</v>
      </c>
      <c r="Q53" s="774">
        <f t="shared" si="6"/>
        <v>0</v>
      </c>
      <c r="R53" s="775">
        <f ca="1">R41+R46+R48</f>
        <v>36057.360518193389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8.8257234339634824E-2</v>
      </c>
      <c r="D55" s="836">
        <f t="shared" ca="1" si="7"/>
        <v>0</v>
      </c>
      <c r="E55" s="836">
        <f t="shared" ca="1" si="7"/>
        <v>0.20199999999999999</v>
      </c>
      <c r="F55" s="836">
        <f t="shared" si="7"/>
        <v>0.22699999999999995</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17223.535465679979</v>
      </c>
      <c r="C64" s="795">
        <f>'lokale energieproductie'!B4</f>
        <v>17223.535465679979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2783.5276812951879</v>
      </c>
      <c r="C66" s="795">
        <f>'lokale energieproductie'!B6</f>
        <v>2783.5276812951879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20007.063146975168</v>
      </c>
      <c r="C69" s="803">
        <f>SUM(C64:C68)</f>
        <v>20007.063146975168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14781.530729663153</v>
      </c>
      <c r="C4" s="478">
        <f>huishoudens!C8</f>
        <v>0</v>
      </c>
      <c r="D4" s="478">
        <f>huishoudens!D8</f>
        <v>19972.1168779</v>
      </c>
      <c r="E4" s="478">
        <f>huishoudens!E8</f>
        <v>849.83611960886299</v>
      </c>
      <c r="F4" s="478">
        <f>huishoudens!F8</f>
        <v>20961.745693617486</v>
      </c>
      <c r="G4" s="478">
        <f>huishoudens!G8</f>
        <v>0</v>
      </c>
      <c r="H4" s="478">
        <f>huishoudens!H8</f>
        <v>0</v>
      </c>
      <c r="I4" s="478">
        <f>huishoudens!I8</f>
        <v>0</v>
      </c>
      <c r="J4" s="478">
        <f>huishoudens!J8</f>
        <v>0</v>
      </c>
      <c r="K4" s="478">
        <f>huishoudens!K8</f>
        <v>0</v>
      </c>
      <c r="L4" s="478">
        <f>huishoudens!L8</f>
        <v>0</v>
      </c>
      <c r="M4" s="478">
        <f>huishoudens!M8</f>
        <v>0</v>
      </c>
      <c r="N4" s="478">
        <f>huishoudens!N8</f>
        <v>6564.7094847027602</v>
      </c>
      <c r="O4" s="478">
        <f>huishoudens!O8</f>
        <v>165.71333333333337</v>
      </c>
      <c r="P4" s="479">
        <f>huishoudens!P8</f>
        <v>686.4</v>
      </c>
      <c r="Q4" s="480">
        <f>SUM(B4:P4)</f>
        <v>63982.052238825599</v>
      </c>
    </row>
    <row r="5" spans="1:17">
      <c r="A5" s="477" t="s">
        <v>156</v>
      </c>
      <c r="B5" s="478">
        <f ca="1">tertiair!B16</f>
        <v>10880.9987</v>
      </c>
      <c r="C5" s="478">
        <f ca="1">tertiair!C16</f>
        <v>0</v>
      </c>
      <c r="D5" s="478">
        <f ca="1">tertiair!D16</f>
        <v>9600.0141423999994</v>
      </c>
      <c r="E5" s="478">
        <f>tertiair!E16</f>
        <v>152.37189845473432</v>
      </c>
      <c r="F5" s="478">
        <f ca="1">tertiair!F16</f>
        <v>1814.8979588804423</v>
      </c>
      <c r="G5" s="478">
        <f>tertiair!G16</f>
        <v>0</v>
      </c>
      <c r="H5" s="478">
        <f>tertiair!H16</f>
        <v>0</v>
      </c>
      <c r="I5" s="478">
        <f>tertiair!I16</f>
        <v>0</v>
      </c>
      <c r="J5" s="478">
        <f>tertiair!J16</f>
        <v>2.1887738292661718E-2</v>
      </c>
      <c r="K5" s="478">
        <f>tertiair!K16</f>
        <v>0</v>
      </c>
      <c r="L5" s="478">
        <f ca="1">tertiair!L16</f>
        <v>0</v>
      </c>
      <c r="M5" s="478">
        <f>tertiair!M16</f>
        <v>0</v>
      </c>
      <c r="N5" s="478">
        <f ca="1">tertiair!N16</f>
        <v>903.52945008549796</v>
      </c>
      <c r="O5" s="478">
        <f>tertiair!O16</f>
        <v>0</v>
      </c>
      <c r="P5" s="479">
        <f>tertiair!P16</f>
        <v>0</v>
      </c>
      <c r="Q5" s="477">
        <f t="shared" ref="Q5:Q13" ca="1" si="0">SUM(B5:P5)</f>
        <v>23351.834037558969</v>
      </c>
    </row>
    <row r="6" spans="1:17">
      <c r="A6" s="477" t="s">
        <v>194</v>
      </c>
      <c r="B6" s="478">
        <f>'openbare verlichting'!B8</f>
        <v>645.673</v>
      </c>
      <c r="C6" s="478"/>
      <c r="D6" s="478"/>
      <c r="E6" s="478"/>
      <c r="F6" s="478"/>
      <c r="G6" s="478"/>
      <c r="H6" s="478"/>
      <c r="I6" s="478"/>
      <c r="J6" s="478"/>
      <c r="K6" s="478"/>
      <c r="L6" s="478"/>
      <c r="M6" s="478"/>
      <c r="N6" s="478"/>
      <c r="O6" s="478"/>
      <c r="P6" s="479"/>
      <c r="Q6" s="477">
        <f t="shared" si="0"/>
        <v>645.673</v>
      </c>
    </row>
    <row r="7" spans="1:17">
      <c r="A7" s="477" t="s">
        <v>112</v>
      </c>
      <c r="B7" s="478">
        <f>landbouw!B8</f>
        <v>352.27</v>
      </c>
      <c r="C7" s="478">
        <f>landbouw!C8</f>
        <v>0</v>
      </c>
      <c r="D7" s="478">
        <f>landbouw!D8</f>
        <v>0</v>
      </c>
      <c r="E7" s="478">
        <f>landbouw!E8</f>
        <v>10.354291256768542</v>
      </c>
      <c r="F7" s="478">
        <f>landbouw!F8</f>
        <v>1467.5377843283379</v>
      </c>
      <c r="G7" s="478">
        <f>landbouw!G8</f>
        <v>0</v>
      </c>
      <c r="H7" s="478">
        <f>landbouw!H8</f>
        <v>0</v>
      </c>
      <c r="I7" s="478">
        <f>landbouw!I8</f>
        <v>0</v>
      </c>
      <c r="J7" s="478">
        <f>landbouw!J8</f>
        <v>51.036357915153324</v>
      </c>
      <c r="K7" s="478">
        <f>landbouw!K8</f>
        <v>0</v>
      </c>
      <c r="L7" s="478">
        <f>landbouw!L8</f>
        <v>0</v>
      </c>
      <c r="M7" s="478">
        <f>landbouw!M8</f>
        <v>0</v>
      </c>
      <c r="N7" s="478">
        <f>landbouw!N8</f>
        <v>0</v>
      </c>
      <c r="O7" s="478">
        <f>landbouw!O8</f>
        <v>0</v>
      </c>
      <c r="P7" s="479">
        <f>landbouw!P8</f>
        <v>0</v>
      </c>
      <c r="Q7" s="477">
        <f t="shared" si="0"/>
        <v>1881.1984335002596</v>
      </c>
    </row>
    <row r="8" spans="1:17">
      <c r="A8" s="477" t="s">
        <v>635</v>
      </c>
      <c r="B8" s="478">
        <f>industrie!B18</f>
        <v>6612.9459000000006</v>
      </c>
      <c r="C8" s="478">
        <f>industrie!C18</f>
        <v>0</v>
      </c>
      <c r="D8" s="478">
        <f>industrie!D18</f>
        <v>506.11562759999998</v>
      </c>
      <c r="E8" s="478">
        <f>industrie!E18</f>
        <v>305.62316930103452</v>
      </c>
      <c r="F8" s="478">
        <f>industrie!F18</f>
        <v>2187.9179427626295</v>
      </c>
      <c r="G8" s="478">
        <f>industrie!G18</f>
        <v>0</v>
      </c>
      <c r="H8" s="478">
        <f>industrie!H18</f>
        <v>0</v>
      </c>
      <c r="I8" s="478">
        <f>industrie!I18</f>
        <v>0</v>
      </c>
      <c r="J8" s="478">
        <f>industrie!J18</f>
        <v>7.8443236222884742</v>
      </c>
      <c r="K8" s="478">
        <f>industrie!K18</f>
        <v>0</v>
      </c>
      <c r="L8" s="478">
        <f>industrie!L18</f>
        <v>0</v>
      </c>
      <c r="M8" s="478">
        <f>industrie!M18</f>
        <v>0</v>
      </c>
      <c r="N8" s="478">
        <f>industrie!N18</f>
        <v>1252.5958863073704</v>
      </c>
      <c r="O8" s="478">
        <f>industrie!O18</f>
        <v>0</v>
      </c>
      <c r="P8" s="479">
        <f>industrie!P18</f>
        <v>0</v>
      </c>
      <c r="Q8" s="477">
        <f t="shared" si="0"/>
        <v>10873.042849593323</v>
      </c>
    </row>
    <row r="9" spans="1:17" s="483" customFormat="1">
      <c r="A9" s="481" t="s">
        <v>561</v>
      </c>
      <c r="B9" s="482">
        <f>transport!B14</f>
        <v>35.824049650310087</v>
      </c>
      <c r="C9" s="482">
        <f>transport!C14</f>
        <v>0</v>
      </c>
      <c r="D9" s="482">
        <f>transport!D14</f>
        <v>120.0866613064161</v>
      </c>
      <c r="E9" s="482">
        <f>transport!E14</f>
        <v>170.44476452996446</v>
      </c>
      <c r="F9" s="482">
        <f>transport!F14</f>
        <v>0</v>
      </c>
      <c r="G9" s="482">
        <f>transport!G14</f>
        <v>59542.780384609054</v>
      </c>
      <c r="H9" s="482">
        <f>transport!H14</f>
        <v>13705.380424326209</v>
      </c>
      <c r="I9" s="482">
        <f>transport!I14</f>
        <v>0</v>
      </c>
      <c r="J9" s="482">
        <f>transport!J14</f>
        <v>0</v>
      </c>
      <c r="K9" s="482">
        <f>transport!K14</f>
        <v>0</v>
      </c>
      <c r="L9" s="482">
        <f>transport!L14</f>
        <v>0</v>
      </c>
      <c r="M9" s="482">
        <f>transport!M14</f>
        <v>3885.5853370803334</v>
      </c>
      <c r="N9" s="482">
        <f>transport!N14</f>
        <v>0</v>
      </c>
      <c r="O9" s="482">
        <f>transport!O14</f>
        <v>0</v>
      </c>
      <c r="P9" s="482">
        <f>transport!P14</f>
        <v>0</v>
      </c>
      <c r="Q9" s="481">
        <f>SUM(B9:P9)</f>
        <v>77460.101621502297</v>
      </c>
    </row>
    <row r="10" spans="1:17">
      <c r="A10" s="477" t="s">
        <v>551</v>
      </c>
      <c r="B10" s="478">
        <f>transport!B54</f>
        <v>0</v>
      </c>
      <c r="C10" s="478">
        <f>transport!C54</f>
        <v>0</v>
      </c>
      <c r="D10" s="478">
        <f>transport!D54</f>
        <v>0</v>
      </c>
      <c r="E10" s="478">
        <f>transport!E54</f>
        <v>0</v>
      </c>
      <c r="F10" s="478">
        <f>transport!F54</f>
        <v>0</v>
      </c>
      <c r="G10" s="478">
        <f>transport!G54</f>
        <v>1089.1849511980454</v>
      </c>
      <c r="H10" s="478">
        <f>transport!H54</f>
        <v>0</v>
      </c>
      <c r="I10" s="478">
        <f>transport!I54</f>
        <v>0</v>
      </c>
      <c r="J10" s="478">
        <f>transport!J54</f>
        <v>0</v>
      </c>
      <c r="K10" s="478">
        <f>transport!K54</f>
        <v>0</v>
      </c>
      <c r="L10" s="478">
        <f>transport!L54</f>
        <v>0</v>
      </c>
      <c r="M10" s="478">
        <f>transport!M54</f>
        <v>61.860896937884995</v>
      </c>
      <c r="N10" s="478">
        <f>transport!N54</f>
        <v>0</v>
      </c>
      <c r="O10" s="478">
        <f>transport!O54</f>
        <v>0</v>
      </c>
      <c r="P10" s="479">
        <f>transport!P54</f>
        <v>0</v>
      </c>
      <c r="Q10" s="477">
        <f t="shared" si="0"/>
        <v>1151.0458481359303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33309.242379313466</v>
      </c>
      <c r="C14" s="488">
        <f t="shared" ref="C14:Q14" ca="1" si="1">SUM(C4:C13)</f>
        <v>0</v>
      </c>
      <c r="D14" s="488">
        <f t="shared" ca="1" si="1"/>
        <v>30198.333309206417</v>
      </c>
      <c r="E14" s="488">
        <f t="shared" si="1"/>
        <v>1488.6302431513648</v>
      </c>
      <c r="F14" s="488">
        <f t="shared" ca="1" si="1"/>
        <v>26432.099379588897</v>
      </c>
      <c r="G14" s="488">
        <f t="shared" si="1"/>
        <v>60631.965335807101</v>
      </c>
      <c r="H14" s="488">
        <f t="shared" si="1"/>
        <v>13705.380424326209</v>
      </c>
      <c r="I14" s="488">
        <f t="shared" si="1"/>
        <v>0</v>
      </c>
      <c r="J14" s="488">
        <f t="shared" si="1"/>
        <v>58.902569275734464</v>
      </c>
      <c r="K14" s="488">
        <f t="shared" si="1"/>
        <v>0</v>
      </c>
      <c r="L14" s="488">
        <f t="shared" ca="1" si="1"/>
        <v>0</v>
      </c>
      <c r="M14" s="488">
        <f t="shared" si="1"/>
        <v>3947.4462340182185</v>
      </c>
      <c r="N14" s="488">
        <f t="shared" ca="1" si="1"/>
        <v>8720.8348210956283</v>
      </c>
      <c r="O14" s="488">
        <f t="shared" si="1"/>
        <v>165.71333333333337</v>
      </c>
      <c r="P14" s="489">
        <f t="shared" si="1"/>
        <v>686.4</v>
      </c>
      <c r="Q14" s="489">
        <f t="shared" ca="1" si="1"/>
        <v>179344.94802911635</v>
      </c>
    </row>
    <row r="16" spans="1:17">
      <c r="A16" s="491" t="s">
        <v>556</v>
      </c>
      <c r="B16" s="841">
        <f ca="1">huishoudens!B10</f>
        <v>8.8257234339634824E-2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1304.5770215063942</v>
      </c>
      <c r="C21" s="478">
        <f t="shared" ref="C21:C30" ca="1" si="3">C4*$C$16</f>
        <v>0</v>
      </c>
      <c r="D21" s="478">
        <f t="shared" ref="D21:D30" si="4">D4*$D$16</f>
        <v>4034.3676093358004</v>
      </c>
      <c r="E21" s="478">
        <f t="shared" ref="E21:E30" si="5">E4*$E$16</f>
        <v>192.91279915121191</v>
      </c>
      <c r="F21" s="478">
        <f t="shared" ref="F21:F30" si="6">F4*$F$16</f>
        <v>5596.786100195869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11128.643530189276</v>
      </c>
    </row>
    <row r="22" spans="1:17">
      <c r="A22" s="477" t="s">
        <v>156</v>
      </c>
      <c r="B22" s="478">
        <f t="shared" ca="1" si="2"/>
        <v>960.32685211516184</v>
      </c>
      <c r="C22" s="478">
        <f t="shared" ca="1" si="3"/>
        <v>0</v>
      </c>
      <c r="D22" s="478">
        <f t="shared" ca="1" si="4"/>
        <v>1939.2028567647999</v>
      </c>
      <c r="E22" s="478">
        <f t="shared" si="5"/>
        <v>34.588420949224691</v>
      </c>
      <c r="F22" s="478">
        <f t="shared" ca="1" si="6"/>
        <v>484.57775502107813</v>
      </c>
      <c r="G22" s="478">
        <f t="shared" si="7"/>
        <v>0</v>
      </c>
      <c r="H22" s="478">
        <f t="shared" si="8"/>
        <v>0</v>
      </c>
      <c r="I22" s="478">
        <f t="shared" si="9"/>
        <v>0</v>
      </c>
      <c r="J22" s="478">
        <f t="shared" si="10"/>
        <v>7.7482593556022477E-3</v>
      </c>
      <c r="K22" s="478">
        <f t="shared" si="11"/>
        <v>0</v>
      </c>
      <c r="L22" s="478">
        <f t="shared" ca="1" si="12"/>
        <v>0</v>
      </c>
      <c r="M22" s="478">
        <f t="shared" si="13"/>
        <v>0</v>
      </c>
      <c r="N22" s="478">
        <f t="shared" ca="1" si="14"/>
        <v>0</v>
      </c>
      <c r="O22" s="478">
        <f t="shared" si="15"/>
        <v>0</v>
      </c>
      <c r="P22" s="479">
        <f t="shared" si="16"/>
        <v>0</v>
      </c>
      <c r="Q22" s="477">
        <f t="shared" ref="Q22:Q30" ca="1" si="17">SUM(B22:P22)</f>
        <v>3418.7036331096201</v>
      </c>
    </row>
    <row r="23" spans="1:17">
      <c r="A23" s="477" t="s">
        <v>194</v>
      </c>
      <c r="B23" s="478">
        <f t="shared" ca="1" si="2"/>
        <v>56.985313267775034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56.985313267775034</v>
      </c>
    </row>
    <row r="24" spans="1:17">
      <c r="A24" s="477" t="s">
        <v>112</v>
      </c>
      <c r="B24" s="478">
        <f t="shared" ca="1" si="2"/>
        <v>31.090375940823158</v>
      </c>
      <c r="C24" s="478">
        <f t="shared" ca="1" si="3"/>
        <v>0</v>
      </c>
      <c r="D24" s="478">
        <f t="shared" si="4"/>
        <v>0</v>
      </c>
      <c r="E24" s="478">
        <f t="shared" si="5"/>
        <v>2.3504241152864593</v>
      </c>
      <c r="F24" s="478">
        <f t="shared" si="6"/>
        <v>391.83258841566624</v>
      </c>
      <c r="G24" s="478">
        <f t="shared" si="7"/>
        <v>0</v>
      </c>
      <c r="H24" s="478">
        <f t="shared" si="8"/>
        <v>0</v>
      </c>
      <c r="I24" s="478">
        <f t="shared" si="9"/>
        <v>0</v>
      </c>
      <c r="J24" s="478">
        <f t="shared" si="10"/>
        <v>18.066870701964277</v>
      </c>
      <c r="K24" s="478">
        <f t="shared" si="11"/>
        <v>0</v>
      </c>
      <c r="L24" s="478">
        <f t="shared" si="12"/>
        <v>0</v>
      </c>
      <c r="M24" s="478">
        <f t="shared" si="13"/>
        <v>0</v>
      </c>
      <c r="N24" s="478">
        <f t="shared" si="14"/>
        <v>0</v>
      </c>
      <c r="O24" s="478">
        <f t="shared" si="15"/>
        <v>0</v>
      </c>
      <c r="P24" s="479">
        <f t="shared" si="16"/>
        <v>0</v>
      </c>
      <c r="Q24" s="477">
        <f t="shared" ca="1" si="17"/>
        <v>443.34025917374009</v>
      </c>
    </row>
    <row r="25" spans="1:17">
      <c r="A25" s="477" t="s">
        <v>635</v>
      </c>
      <c r="B25" s="478">
        <f t="shared" ca="1" si="2"/>
        <v>583.64031597162739</v>
      </c>
      <c r="C25" s="478">
        <f t="shared" ca="1" si="3"/>
        <v>0</v>
      </c>
      <c r="D25" s="478">
        <f t="shared" si="4"/>
        <v>102.2353567752</v>
      </c>
      <c r="E25" s="478">
        <f t="shared" si="5"/>
        <v>69.376459431334837</v>
      </c>
      <c r="F25" s="478">
        <f t="shared" si="6"/>
        <v>584.17409071762211</v>
      </c>
      <c r="G25" s="478">
        <f t="shared" si="7"/>
        <v>0</v>
      </c>
      <c r="H25" s="478">
        <f t="shared" si="8"/>
        <v>0</v>
      </c>
      <c r="I25" s="478">
        <f t="shared" si="9"/>
        <v>0</v>
      </c>
      <c r="J25" s="478">
        <f t="shared" si="10"/>
        <v>2.7768905622901197</v>
      </c>
      <c r="K25" s="478">
        <f t="shared" si="11"/>
        <v>0</v>
      </c>
      <c r="L25" s="478">
        <f t="shared" si="12"/>
        <v>0</v>
      </c>
      <c r="M25" s="478">
        <f t="shared" si="13"/>
        <v>0</v>
      </c>
      <c r="N25" s="478">
        <f t="shared" si="14"/>
        <v>0</v>
      </c>
      <c r="O25" s="478">
        <f t="shared" si="15"/>
        <v>0</v>
      </c>
      <c r="P25" s="479">
        <f t="shared" si="16"/>
        <v>0</v>
      </c>
      <c r="Q25" s="477">
        <f t="shared" ca="1" si="17"/>
        <v>1342.2031134580745</v>
      </c>
    </row>
    <row r="26" spans="1:17" s="483" customFormat="1">
      <c r="A26" s="481" t="s">
        <v>561</v>
      </c>
      <c r="B26" s="835">
        <f t="shared" ca="1" si="2"/>
        <v>3.1617315449821302</v>
      </c>
      <c r="C26" s="482">
        <f t="shared" ca="1" si="3"/>
        <v>0</v>
      </c>
      <c r="D26" s="482">
        <f t="shared" si="4"/>
        <v>24.257505583896055</v>
      </c>
      <c r="E26" s="482">
        <f t="shared" si="5"/>
        <v>38.690961548301935</v>
      </c>
      <c r="F26" s="482">
        <f t="shared" si="6"/>
        <v>0</v>
      </c>
      <c r="G26" s="482">
        <f t="shared" si="7"/>
        <v>15897.922362690619</v>
      </c>
      <c r="H26" s="482">
        <f t="shared" si="8"/>
        <v>3412.6397256572263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19376.672287025027</v>
      </c>
    </row>
    <row r="27" spans="1:17">
      <c r="A27" s="477" t="s">
        <v>551</v>
      </c>
      <c r="B27" s="478">
        <f t="shared" ca="1" si="2"/>
        <v>0</v>
      </c>
      <c r="C27" s="478">
        <f t="shared" ca="1" si="3"/>
        <v>0</v>
      </c>
      <c r="D27" s="478">
        <f t="shared" si="4"/>
        <v>0</v>
      </c>
      <c r="E27" s="478">
        <f t="shared" si="5"/>
        <v>0</v>
      </c>
      <c r="F27" s="478">
        <f t="shared" si="6"/>
        <v>0</v>
      </c>
      <c r="G27" s="478">
        <f t="shared" si="7"/>
        <v>290.81238196987812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290.81238196987812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2939.781610346764</v>
      </c>
      <c r="C31" s="488">
        <f t="shared" ca="1" si="18"/>
        <v>0</v>
      </c>
      <c r="D31" s="488">
        <f t="shared" ca="1" si="18"/>
        <v>6100.0633284596961</v>
      </c>
      <c r="E31" s="488">
        <f t="shared" si="18"/>
        <v>337.91906519535979</v>
      </c>
      <c r="F31" s="488">
        <f t="shared" ca="1" si="18"/>
        <v>7057.3705343502352</v>
      </c>
      <c r="G31" s="488">
        <f t="shared" si="18"/>
        <v>16188.734744660496</v>
      </c>
      <c r="H31" s="488">
        <f t="shared" si="18"/>
        <v>3412.6397256572263</v>
      </c>
      <c r="I31" s="488">
        <f t="shared" si="18"/>
        <v>0</v>
      </c>
      <c r="J31" s="488">
        <f t="shared" si="18"/>
        <v>20.851509523609998</v>
      </c>
      <c r="K31" s="488">
        <f t="shared" si="18"/>
        <v>0</v>
      </c>
      <c r="L31" s="488">
        <f t="shared" ca="1" si="18"/>
        <v>0</v>
      </c>
      <c r="M31" s="488">
        <f t="shared" si="18"/>
        <v>0</v>
      </c>
      <c r="N31" s="488">
        <f t="shared" ca="1" si="18"/>
        <v>0</v>
      </c>
      <c r="O31" s="488">
        <f t="shared" si="18"/>
        <v>0</v>
      </c>
      <c r="P31" s="489">
        <f t="shared" si="18"/>
        <v>0</v>
      </c>
      <c r="Q31" s="489">
        <f t="shared" ca="1" si="18"/>
        <v>36057.360518193396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8.8257234339634824E-2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8.8257234339634824E-2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8.8257234339634824E-2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2018-09-06T12:49:13Z</dcterms:modified>
</cp:coreProperties>
</file>