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P31"/>
  <c r="I14"/>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R19"/>
  <c r="R20" s="1"/>
  <c r="H14" i="48"/>
  <c r="G31"/>
  <c r="H26"/>
  <c r="H31" s="1"/>
  <c r="G53" i="14"/>
  <c r="G55" s="1"/>
  <c r="O69" s="1"/>
  <c r="B9" i="6" s="1"/>
  <c r="B12" s="1"/>
  <c r="M53" i="14"/>
  <c r="M55" s="1"/>
  <c r="C12" i="13"/>
  <c r="D37" i="14" s="1"/>
  <c r="D41" s="1"/>
  <c r="C23" i="48"/>
  <c r="C24"/>
  <c r="C27"/>
  <c r="C28"/>
  <c r="C22"/>
  <c r="C25"/>
  <c r="C29"/>
  <c r="C21"/>
  <c r="C26"/>
  <c r="F25"/>
  <c r="F31" s="1"/>
  <c r="F14"/>
  <c r="R13" i="14" l="1"/>
  <c r="R15" s="1"/>
  <c r="R23" s="1"/>
  <c r="E14" i="48"/>
  <c r="J14"/>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<sst xmlns="http://schemas.openxmlformats.org/spreadsheetml/2006/main" count="1914" uniqueCount="809">
  <si>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</si>
  <si>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</si>
  <si>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</si>
  <si>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</si>
  <si>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</si>
  <si>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</si>
  <si>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</si>
  <si>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</si>
  <si>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</si>
  <si>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</si>
  <si>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</si>
  <si>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</si>
  <si>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</si>
  <si>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</si>
  <si>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</si>
  <si>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</si>
  <si>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</si>
  <si>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</si>
  <si>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</si>
  <si>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</si>
  <si>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</si>
  <si>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</si>
  <si>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</si>
  <si>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</si>
  <si>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</si>
  <si>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</si>
  <si>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</si>
  <si>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</si>
  <si>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</si>
  <si>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</si>
  <si>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</si>
  <si>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</si>
  <si>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</si>
  <si>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</si>
  <si>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</si>
  <si>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</si>
  <si>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</si>
  <si>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</si>
  <si>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</si>
  <si>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</si>
  <si>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</si>
  <si>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</si>
  <si>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</si>
  <si>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</si>
  <si>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</si>
  <si>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</si>
  <si>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</si>
  <si>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</si>
  <si>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</si>
  <si>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</si>
  <si>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</si>
  <si>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</si>
  <si>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</si>
  <si>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</si>
  <si>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</si>
  <si>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</si>
  <si>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</si>
  <si>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</si>
  <si>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</si>
  <si>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</si>
  <si>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</si>
  <si>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</si>
  <si>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</si>
  <si>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</si>
  <si>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</si>
  <si>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</si>
  <si>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</si>
  <si>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</si>
  <si>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</si>
  <si>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</si>
  <si>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</si>
  <si>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</si>
  <si>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</si>
  <si>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</si>
  <si>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</si>
  <si>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</si>
  <si>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</si>
  <si>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</si>
  <si>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</si>
  <si>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</si>
  <si>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</si>
  <si>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</si>
  <si>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</si>
  <si>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</si>
  <si>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</si>
  <si>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</si>
  <si>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</si>
  <si>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</si>
  <si>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</si>
  <si>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</si>
  <si>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</si>
  <si>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</si>
  <si>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</si>
  <si>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</si>
  <si>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</si>
  <si>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</si>
  <si>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</si>
  <si>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</si>
  <si>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</si>
  <si>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</si>
  <si>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</si>
  <si>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</si>
  <si>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</si>
  <si>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</si>
  <si>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</si>
  <si>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</si>
  <si>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</si>
  <si>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</si>
  <si>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</si>
  <si>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</si>
  <si>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</si>
  <si>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</si>
  <si>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</si>
  <si>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</si>
  <si>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</si>
  <si>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</si>
  <si>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</si>
  <si>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</si>
  <si>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</si>
  <si>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</si>
  <si>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</si>
  <si>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</si>
  <si>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</si>
  <si>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</si>
  <si>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</si>
  <si>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</si>
  <si>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</si>
  <si>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</si>
  <si>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</si>
  <si>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</si>
  <si>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</si>
  <si>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</si>
  <si>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</si>
  <si>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</si>
  <si>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</si>
  <si>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</si>
  <si>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</si>
  <si>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</si>
  <si>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</si>
  <si>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</si>
  <si>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</si>
  <si>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</si>
  <si>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</si>
  <si>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</si>
  <si>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</si>
  <si>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</si>
  <si>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</si>
  <si>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</si>
  <si>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</si>
  <si>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</si>
  <si>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</si>
  <si>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</si>
  <si>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</si>
  <si>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</si>
  <si>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</si>
  <si>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</si>
  <si>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</si>
  <si>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</si>
  <si>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</si>
  <si>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</si>
  <si>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</si>
  <si>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</si>
  <si>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</si>
  <si>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</si>
  <si>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</si>
  <si>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</si>
  <si>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</si>
  <si>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</si>
  <si>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</si>
  <si>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</si>
  <si>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</si>
  <si>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</si>
  <si>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</si>
  <si>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</si>
  <si>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</si>
  <si>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</si>
  <si>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</si>
  <si>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</si>
  <si>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</si>
  <si>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</si>
  <si>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</si>
  <si>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</si>
  <si>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</si>
  <si>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</si>
  <si>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</si>
  <si>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</si>
  <si>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</si>
  <si>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</si>
  <si>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</si>
  <si>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</si>
  <si>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</si>
  <si>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</si>
  <si>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</si>
  <si>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</si>
  <si>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</si>
  <si>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</si>
  <si>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</si>
  <si>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</si>
  <si>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</si>
  <si>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</si>
  <si>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</si>
  <si>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</si>
  <si>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</si>
  <si>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</si>
  <si>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</si>
  <si>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</si>
  <si>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</si>
  <si>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</si>
  <si>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</si>
  <si>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</si>
  <si>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</si>
  <si>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</si>
  <si>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</si>
  <si>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</si>
  <si>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</si>
  <si>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</si>
  <si>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</si>
  <si>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</si>
  <si>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</si>
  <si>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</si>
  <si>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</si>
  <si>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</si>
  <si>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</si>
  <si>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</si>
  <si>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</si>
  <si>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</si>
  <si>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</si>
  <si>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</si>
  <si>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</si>
  <si>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</si>
  <si>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</si>
  <si>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</si>
  <si>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</si>
  <si>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</si>
  <si>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</si>
  <si>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</si>
  <si>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</si>
  <si>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</si>
  <si>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</si>
  <si>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</si>
  <si>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</si>
  <si>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</si>
  <si>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</si>
  <si>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</si>
  <si>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</si>
  <si>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</si>
  <si>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</si>
  <si>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</si>
  <si>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</si>
  <si>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</si>
  <si>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</si>
  <si>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</si>
  <si>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</si>
  <si>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</si>
  <si>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</si>
  <si>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</si>
  <si>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</si>
  <si>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</si>
  <si>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</si>
  <si>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</si>
  <si>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</si>
  <si>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</si>
  <si>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</si>
  <si>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</si>
  <si>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</si>
  <si>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</si>
  <si>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</si>
  <si>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</si>
  <si>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</si>
  <si>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</si>
  <si>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</si>
  <si>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</si>
  <si>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</si>
  <si>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</si>
  <si>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</si>
  <si>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</si>
  <si>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</si>
  <si>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</si>
  <si>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</si>
  <si>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</si>
  <si>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</si>
  <si>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</si>
  <si>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</si>
  <si>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</si>
  <si>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</si>
  <si>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</si>
  <si>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</si>
  <si>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</si>
  <si>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</si>
  <si>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</si>
  <si>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</si>
  <si>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</si>
  <si>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</si>
  <si>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</si>
  <si>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</si>
  <si>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</si>
  <si>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</si>
  <si>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</si>
  <si>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</si>
  <si>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</si>
  <si>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</si>
  <si>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</si>
  <si>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</si>
  <si>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</si>
  <si>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</si>
  <si>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</si>
  <si>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</si>
  <si>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</si>
  <si>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</si>
  <si>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</si>
  <si>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</si>
  <si>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</si>
  <si>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</si>
  <si>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</si>
  <si>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</si>
  <si>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</si>
  <si>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</si>
  <si>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</si>
  <si>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</si>
  <si>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</si>
  <si>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</si>
  <si>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</si>
  <si>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</si>
  <si>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</si>
  <si>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</si>
  <si>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</si>
  <si>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</si>
  <si>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</si>
  <si>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</si>
  <si>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</si>
  <si>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</si>
  <si>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</si>
  <si>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</si>
  <si>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</si>
  <si>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</si>
  <si>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</si>
  <si>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</si>
  <si>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</si>
  <si>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</si>
  <si>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</si>
  <si>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</si>
  <si>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</si>
  <si>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</si>
  <si>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</si>
  <si>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</si>
  <si>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</si>
  <si>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</si>
  <si>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</si>
  <si>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</si>
  <si>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</si>
  <si>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</si>
  <si>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</si>
  <si>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</si>
  <si>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</si>
  <si>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</si>
  <si>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</si>
  <si>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</si>
  <si>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</si>
  <si>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</si>
  <si>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</si>
  <si>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</si>
  <si>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</si>
  <si>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</si>
  <si>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</si>
  <si>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</si>
  <si>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</si>
  <si>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</si>
  <si>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</si>
  <si>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</si>
  <si>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</si>
  <si>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</si>
  <si>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</si>
  <si>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</si>
  <si>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</si>
  <si>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</si>
  <si>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</si>
  <si>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</si>
  <si>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</si>
  <si>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</si>
  <si>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</si>
  <si>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</si>
  <si>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</si>
  <si>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</si>
  <si>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</si>
  <si>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</si>
  <si>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</si>
  <si>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</si>
  <si>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</si>
  <si>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</si>
  <si>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</si>
  <si>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</si>
  <si>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</si>
  <si>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</si>
  <si>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</si>
  <si>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</si>
  <si>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</si>
  <si>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</si>
  <si>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</si>
  <si>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</si>
  <si>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</si>
  <si>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</si>
  <si>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</si>
  <si>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</si>
  <si>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</si>
  <si>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</si>
  <si>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</si>
  <si>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</si>
  <si>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</si>
  <si>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</si>
  <si>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</si>
  <si>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</si>
  <si>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</si>
  <si>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</si>
  <si>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</si>
  <si>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</si>
  <si>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</si>
  <si>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</si>
  <si>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</si>
  <si>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</si>
  <si>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</si>
  <si>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</si>
  <si>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</si>
  <si>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</si>
  <si>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</si>
  <si>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</si>
  <si>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</si>
  <si>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</si>
  <si>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</si>
  <si>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</si>
  <si>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</si>
  <si>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</si>
  <si>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</si>
  <si>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</si>
  <si>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</si>
  <si>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</si>
  <si>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</si>
  <si>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</si>
  <si>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</si>
  <si>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</si>
  <si>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</si>
  <si>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</si>
  <si>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</si>
  <si>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</si>
  <si>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</si>
  <si>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</si>
  <si>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</si>
  <si>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</si>
  <si>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</si>
  <si>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</si>
  <si>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</si>
  <si>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</si>
  <si>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</si>
  <si>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</si>
  <si>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</si>
  <si>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</si>
  <si>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</si>
  <si>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</si>
  <si>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</si>
  <si>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</si>
  <si>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</si>
  <si>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</si>
  <si>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</si>
  <si>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</si>
  <si>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</si>
  <si>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</si>
  <si>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</si>
  <si>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</si>
  <si>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</si>
  <si>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</si>
  <si>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</si>
  <si>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</si>
  <si>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</si>
  <si>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</si>
  <si>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</si>
  <si>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</si>
  <si>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</si>
  <si>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</si>
  <si>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</si>
  <si>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</si>
  <si>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</si>
  <si>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</si>
  <si>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</si>
  <si>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</si>
  <si>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</si>
  <si>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</si>
  <si>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</si>
  <si>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</si>
  <si>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</si>
  <si>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</si>
  <si>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</si>
  <si>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</si>
  <si>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</si>
  <si>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</si>
  <si>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</si>
  <si>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</si>
  <si>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</si>
  <si>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</si>
  <si>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</si>
  <si>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</si>
  <si>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</si>
  <si>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</si>
  <si>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</si>
  <si>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</si>
  <si>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</si>
  <si>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</si>
  <si>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</si>
  <si>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</si>
  <si>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</si>
  <si>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</si>
  <si>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</si>
  <si>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</si>
  <si>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</si>
  <si>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</si>
  <si>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</si>
  <si>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</si>
  <si>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</si>
  <si>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</si>
  <si>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</si>
  <si>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</si>
  <si>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</si>
  <si>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</si>
  <si>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</si>
  <si>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</si>
  <si>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</si>
  <si>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</si>
  <si>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</si>
  <si>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</si>
  <si>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</si>
  <si>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</si>
  <si>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</si>
  <si>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</si>
  <si>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</si>
  <si>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</si>
  <si>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</si>
  <si>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</si>
  <si>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</si>
  <si>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</si>
  <si>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</si>
  <si>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</si>
  <si>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</si>
  <si>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</si>
  <si>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</si>
  <si>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</si>
  <si>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</si>
  <si>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</si>
  <si>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</si>
  <si>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</si>
  <si>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</si>
  <si>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</si>
  <si>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</si>
  <si>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</si>
  <si>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</si>
  <si>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</si>
  <si>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</si>
  <si>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</si>
  <si>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</si>
  <si>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</si>
  <si>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</si>
  <si>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</si>
  <si>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</si>
  <si>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</si>
  <si>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</si>
  <si>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</si>
  <si>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</si>
  <si>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</si>
  <si>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</si>
  <si>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</si>
  <si>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</si>
  <si>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</si>
  <si>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</si>
  <si>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</si>
  <si>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</si>
  <si>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</si>
  <si>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</si>
  <si>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</si>
  <si>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</si>
  <si>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</si>
  <si>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</si>
  <si>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</si>
  <si>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</si>
  <si>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</si>
  <si>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</si>
  <si>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</si>
  <si>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</si>
  <si>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</si>
  <si>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</si>
  <si>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</si>
  <si>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</si>
  <si>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</si>
  <si>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</si>
  <si>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</si>
  <si>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</si>
  <si>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</si>
  <si>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</si>
  <si>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</si>
  <si>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</si>
  <si>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</si>
  <si>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</si>
  <si>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</si>
  <si>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</si>
  <si>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</si>
  <si>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</si>
  <si>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</si>
  <si>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</si>
  <si>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</si>
  <si>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</si>
  <si>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</si>
  <si>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</si>
  <si>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</si>
  <si>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</si>
  <si>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</si>
  <si>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</si>
  <si>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</si>
  <si>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</si>
  <si>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</si>
  <si>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</si>
  <si>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</si>
  <si>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</si>
  <si>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</si>
  <si>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</si>
  <si>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</si>
  <si>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</si>
  <si>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</si>
  <si>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</si>
  <si>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</si>
  <si>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</si>
  <si>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</si>
  <si>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</si>
  <si>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</si>
  <si>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</si>
  <si>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</si>
  <si>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</si>
  <si>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</si>
  <si>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</si>
  <si>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</si>
  <si>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</si>
  <si>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</si>
  <si>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</si>
  <si>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</si>
  <si>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</si>
  <si>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</si>
  <si>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</si>
  <si>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</si>
  <si>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</si>
  <si>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</si>
  <si>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</si>
  <si>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</si>
  <si>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</si>
  <si>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</si>
  <si>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</si>
  <si>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</si>
  <si>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</si>
  <si>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</si>
  <si>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</si>
  <si>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</si>
  <si>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</si>
  <si>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</si>
  <si>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</si>
  <si>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</si>
  <si>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</si>
  <si>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</si>
  <si>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</si>
  <si>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</si>
  <si>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</si>
  <si>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</si>
  <si>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</si>
  <si>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</si>
  <si>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</si>
  <si>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</si>
  <si>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</si>
  <si>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</si>
  <si>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</si>
  <si>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</si>
  <si>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</si>
  <si>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</si>
  <si>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</si>
  <si>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</si>
  <si>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</si>
  <si>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</si>
  <si>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</si>
  <si>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</si>
  <si>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</si>
  <si>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</si>
  <si>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</si>
  <si>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</si>
  <si>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</si>
  <si>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</si>
  <si>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</si>
  <si>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</si>
  <si>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</si>
  <si>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</si>
  <si>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</si>
  <si>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</si>
  <si>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</si>
  <si>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</si>
  <si>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</si>
  <si>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</si>
  <si>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</si>
  <si>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</si>
  <si>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</si>
  <si>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</si>
  <si>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</si>
  <si>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</si>
  <si>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</si>
  <si>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</si>
  <si>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</si>
  <si>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</si>
  <si>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</si>
  <si>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</si>
  <si>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</si>
  <si>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</si>
  <si>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</si>
  <si>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</si>
  <si>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</si>
  <si>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</si>
  <si>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</si>
  <si>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</si>
  <si>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</si>
  <si>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</si>
  <si>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</si>
  <si>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</si>
  <si>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</si>
  <si>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</si>
  <si>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</si>
  <si>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</si>
  <si>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</si>
  <si>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</si>
  <si>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</si>
  <si>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</si>
  <si>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</si>
  <si>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</si>
  <si>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</si>
  <si>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</si>
  <si>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</si>
  <si>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</si>
  <si>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</si>
  <si>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</si>
  <si>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</si>
  <si>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</si>
  <si>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</si>
  <si>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</si>
  <si>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</si>
  <si>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</si>
  <si>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</si>
  <si>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</si>
  <si>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</si>
  <si>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</si>
  <si>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</si>
  <si>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</si>
  <si>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</si>
  <si>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</si>
  <si>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</si>
  <si>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</si>
  <si>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</si>
  <si>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</si>
  <si>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</si>
  <si>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</si>
  <si>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</si>
  <si>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</si>
  <si>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</si>
  <si>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</si>
  <si>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</si>
  <si>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</si>
  <si>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</si>
  <si>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</si>
  <si>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</si>
  <si>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</si>
  <si>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</si>
  <si>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</si>
  <si>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</si>
  <si>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</si>
  <si>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</si>
  <si>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</si>
  <si>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</si>
  <si>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</si>
  <si>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</si>
  <si>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</si>
  <si>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</si>
  <si>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</si>
  <si>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</si>
  <si>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</si>
  <si>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</si>
  <si>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</si>
  <si>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</si>
  <si>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</si>
  <si>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</si>
  <si>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</si>
  <si>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</si>
  <si>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</si>
  <si>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</si>
  <si>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</si>
  <si>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</si>
  <si>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</si>
  <si>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</si>
  <si>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</si>
  <si>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</si>
  <si>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</si>
  <si>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</si>
  <si>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</si>
  <si>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</si>
  <si>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</si>
  <si>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71047</t>
  </si>
  <si>
    <t>OPGLABBEEK</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</si>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</sst>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92059.735037694802</c:v>
                </c:pt>
                <c:pt idx="1">
                  <c:v>44914.431147466952</c:v>
                </c:pt>
                <c:pt idx="2">
                  <c:v>723.99800000000005</c:v>
                </c:pt>
                <c:pt idx="3">
                  <c:v>2398.840861216604</c:v>
                </c:pt>
                <c:pt idx="4">
                  <c:v>35277.175721416323</c:v>
                </c:pt>
                <c:pt idx="5">
                  <c:v>50088.472984320586</c:v>
                </c:pt>
                <c:pt idx="6">
                  <c:v>1155.5565288825408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56458368"/>
        <c:axId val="156460160"/>
      </c:barChart>
      <c:catAx>
        <c:axId val="156458368"/>
        <c:scaling>
          <c:orientation val="minMax"/>
        </c:scaling>
        <c:axPos val="b"/>
        <c:numFmt formatCode="General" sourceLinked="0"/>
        <c:tickLblPos val="nextTo"/>
        <c:crossAx val="156460160"/>
        <c:crosses val="autoZero"/>
        <c:auto val="1"/>
        <c:lblAlgn val="ctr"/>
        <c:lblOffset val="100"/>
      </c:catAx>
      <c:valAx>
        <c:axId val="156460160"/>
        <c:scaling>
          <c:orientation val="minMax"/>
        </c:scaling>
        <c:axPos val="l"/>
        <c:majorGridlines/>
        <c:numFmt formatCode="#,##0" sourceLinked="1"/>
        <c:tickLblPos val="nextTo"/>
        <c:crossAx val="156458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92059.735037694802</c:v>
                </c:pt>
                <c:pt idx="1">
                  <c:v>44914.431147466952</c:v>
                </c:pt>
                <c:pt idx="2">
                  <c:v>723.99800000000005</c:v>
                </c:pt>
                <c:pt idx="3">
                  <c:v>2398.840861216604</c:v>
                </c:pt>
                <c:pt idx="4">
                  <c:v>35277.175721416323</c:v>
                </c:pt>
                <c:pt idx="5">
                  <c:v>50088.472984320586</c:v>
                </c:pt>
                <c:pt idx="6">
                  <c:v>1155.5565288825408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17709.790449050812</c:v>
                </c:pt>
                <c:pt idx="1">
                  <c:v>8395.1671769608893</c:v>
                </c:pt>
                <c:pt idx="2">
                  <c:v>120.34372019636493</c:v>
                </c:pt>
                <c:pt idx="3">
                  <c:v>599.3597255313739</c:v>
                </c:pt>
                <c:pt idx="4">
                  <c:v>6151.2771012670119</c:v>
                </c:pt>
                <c:pt idx="5">
                  <c:v>12518.306353357017</c:v>
                </c:pt>
                <c:pt idx="6">
                  <c:v>291.95200800158818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932352"/>
        <c:axId val="156946432"/>
      </c:barChart>
      <c:catAx>
        <c:axId val="156932352"/>
        <c:scaling>
          <c:orientation val="minMax"/>
        </c:scaling>
        <c:axPos val="b"/>
        <c:numFmt formatCode="General" sourceLinked="0"/>
        <c:tickLblPos val="nextTo"/>
        <c:crossAx val="156946432"/>
        <c:crosses val="autoZero"/>
        <c:auto val="1"/>
        <c:lblAlgn val="ctr"/>
        <c:lblOffset val="100"/>
      </c:catAx>
      <c:valAx>
        <c:axId val="156946432"/>
        <c:scaling>
          <c:orientation val="minMax"/>
        </c:scaling>
        <c:axPos val="l"/>
        <c:majorGridlines/>
        <c:numFmt formatCode="#,##0" sourceLinked="1"/>
        <c:tickLblPos val="nextTo"/>
        <c:crossAx val="156932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17709.790449050812</c:v>
                </c:pt>
                <c:pt idx="1">
                  <c:v>8395.1671769608893</c:v>
                </c:pt>
                <c:pt idx="2">
                  <c:v>120.34372019636493</c:v>
                </c:pt>
                <c:pt idx="3">
                  <c:v>599.3597255313739</c:v>
                </c:pt>
                <c:pt idx="4">
                  <c:v>6151.2771012670119</c:v>
                </c:pt>
                <c:pt idx="5">
                  <c:v>12518.306353357017</c:v>
                </c:pt>
                <c:pt idx="6">
                  <c:v>291.95200800158818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71047</v>
      </c>
      <c r="B6" s="415"/>
      <c r="C6" s="416"/>
    </row>
    <row r="7" spans="1:7" s="413" customFormat="1" ht="15.75" customHeight="1">
      <c r="A7" s="417" t="str">
        <f>txtMunicipality</f>
        <v>OPGLABBEEK</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71047</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4003</v>
      </c>
      <c r="C9" s="342">
        <v>4149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514.63</v>
      </c>
    </row>
    <row r="15" spans="1:6">
      <c r="A15" s="348" t="s">
        <v>184</v>
      </c>
      <c r="B15" s="334">
        <v>3</v>
      </c>
    </row>
    <row r="16" spans="1:6">
      <c r="A16" s="348" t="s">
        <v>6</v>
      </c>
      <c r="B16" s="334">
        <v>238</v>
      </c>
    </row>
    <row r="17" spans="1:6">
      <c r="A17" s="348" t="s">
        <v>7</v>
      </c>
      <c r="B17" s="334">
        <v>12</v>
      </c>
    </row>
    <row r="18" spans="1:6">
      <c r="A18" s="348" t="s">
        <v>8</v>
      </c>
      <c r="B18" s="334">
        <v>105</v>
      </c>
    </row>
    <row r="19" spans="1:6">
      <c r="A19" s="348" t="s">
        <v>9</v>
      </c>
      <c r="B19" s="334">
        <v>114</v>
      </c>
    </row>
    <row r="20" spans="1:6">
      <c r="A20" s="348" t="s">
        <v>10</v>
      </c>
      <c r="B20" s="334">
        <v>97</v>
      </c>
    </row>
    <row r="21" spans="1:6">
      <c r="A21" s="348" t="s">
        <v>11</v>
      </c>
      <c r="B21" s="334">
        <v>203</v>
      </c>
    </row>
    <row r="22" spans="1:6">
      <c r="A22" s="348" t="s">
        <v>12</v>
      </c>
      <c r="B22" s="334">
        <v>518</v>
      </c>
    </row>
    <row r="23" spans="1:6">
      <c r="A23" s="348" t="s">
        <v>13</v>
      </c>
      <c r="B23" s="334">
        <v>12</v>
      </c>
    </row>
    <row r="24" spans="1:6">
      <c r="A24" s="348" t="s">
        <v>14</v>
      </c>
      <c r="B24" s="334">
        <v>1</v>
      </c>
    </row>
    <row r="25" spans="1:6">
      <c r="A25" s="348" t="s">
        <v>15</v>
      </c>
      <c r="B25" s="334">
        <v>68</v>
      </c>
    </row>
    <row r="26" spans="1:6">
      <c r="A26" s="348" t="s">
        <v>16</v>
      </c>
      <c r="B26" s="334">
        <v>0</v>
      </c>
    </row>
    <row r="27" spans="1:6">
      <c r="A27" s="348" t="s">
        <v>17</v>
      </c>
      <c r="B27" s="334">
        <v>0</v>
      </c>
    </row>
    <row r="28" spans="1:6" s="356" customFormat="1">
      <c r="A28" s="355" t="s">
        <v>18</v>
      </c>
      <c r="B28" s="355">
        <v>24568</v>
      </c>
    </row>
    <row r="29" spans="1:6">
      <c r="A29" s="355" t="s">
        <v>744</v>
      </c>
      <c r="B29" s="355">
        <v>112</v>
      </c>
      <c r="C29" s="356"/>
      <c r="D29" s="356"/>
      <c r="E29" s="356"/>
      <c r="F29" s="356"/>
    </row>
    <row r="30" spans="1:6">
      <c r="A30" s="341" t="s">
        <v>745</v>
      </c>
      <c r="B30" s="341">
        <v>23</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1090848</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1662</v>
      </c>
      <c r="D39" s="334">
        <v>26593927.549999997</v>
      </c>
      <c r="E39" s="334">
        <v>3947</v>
      </c>
      <c r="F39" s="334">
        <v>13500963.25</v>
      </c>
    </row>
    <row r="40" spans="1:6">
      <c r="A40" s="348" t="s">
        <v>30</v>
      </c>
      <c r="B40" s="348" t="s">
        <v>29</v>
      </c>
      <c r="C40" s="334">
        <v>0</v>
      </c>
      <c r="D40" s="334">
        <v>0</v>
      </c>
      <c r="E40" s="334">
        <v>0</v>
      </c>
      <c r="F40" s="334">
        <v>0</v>
      </c>
    </row>
    <row r="41" spans="1:6">
      <c r="A41" s="348" t="s">
        <v>32</v>
      </c>
      <c r="B41" s="348" t="s">
        <v>33</v>
      </c>
      <c r="C41" s="334">
        <v>52</v>
      </c>
      <c r="D41" s="334">
        <v>2721862.6</v>
      </c>
      <c r="E41" s="334">
        <v>104</v>
      </c>
      <c r="F41" s="334">
        <v>4707179.7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25</v>
      </c>
      <c r="D44" s="334">
        <v>3174042</v>
      </c>
      <c r="E44" s="334">
        <v>36</v>
      </c>
      <c r="F44" s="334">
        <v>2537621</v>
      </c>
    </row>
    <row r="45" spans="1:6">
      <c r="A45" s="348" t="s">
        <v>32</v>
      </c>
      <c r="B45" s="348" t="s">
        <v>37</v>
      </c>
      <c r="C45" s="334">
        <v>3</v>
      </c>
      <c r="D45" s="334">
        <v>3808634</v>
      </c>
      <c r="E45" s="334">
        <v>6</v>
      </c>
      <c r="F45" s="334">
        <v>6106528</v>
      </c>
    </row>
    <row r="46" spans="1:6">
      <c r="A46" s="348" t="s">
        <v>32</v>
      </c>
      <c r="B46" s="348" t="s">
        <v>38</v>
      </c>
      <c r="C46" s="334">
        <v>0</v>
      </c>
      <c r="D46" s="334">
        <v>0</v>
      </c>
      <c r="E46" s="334">
        <v>0</v>
      </c>
      <c r="F46" s="334">
        <v>0</v>
      </c>
    </row>
    <row r="47" spans="1:6">
      <c r="A47" s="348" t="s">
        <v>32</v>
      </c>
      <c r="B47" s="348" t="s">
        <v>39</v>
      </c>
      <c r="C47" s="334">
        <v>0</v>
      </c>
      <c r="D47" s="334">
        <v>0</v>
      </c>
      <c r="E47" s="334">
        <v>3</v>
      </c>
      <c r="F47" s="334">
        <v>537418</v>
      </c>
    </row>
    <row r="48" spans="1:6">
      <c r="A48" s="348" t="s">
        <v>32</v>
      </c>
      <c r="B48" s="348" t="s">
        <v>29</v>
      </c>
      <c r="C48" s="334">
        <v>0</v>
      </c>
      <c r="D48" s="334">
        <v>0</v>
      </c>
      <c r="E48" s="334">
        <v>0</v>
      </c>
      <c r="F48" s="334">
        <v>0</v>
      </c>
    </row>
    <row r="49" spans="1:6">
      <c r="A49" s="348" t="s">
        <v>32</v>
      </c>
      <c r="B49" s="348" t="s">
        <v>40</v>
      </c>
      <c r="C49" s="334">
        <v>4</v>
      </c>
      <c r="D49" s="334">
        <v>140690</v>
      </c>
      <c r="E49" s="334">
        <v>5</v>
      </c>
      <c r="F49" s="334">
        <v>256386</v>
      </c>
    </row>
    <row r="50" spans="1:6">
      <c r="A50" s="348" t="s">
        <v>32</v>
      </c>
      <c r="B50" s="348" t="s">
        <v>41</v>
      </c>
      <c r="C50" s="334">
        <v>0</v>
      </c>
      <c r="D50" s="334">
        <v>0</v>
      </c>
      <c r="E50" s="334">
        <v>0</v>
      </c>
      <c r="F50" s="334">
        <v>0</v>
      </c>
    </row>
    <row r="51" spans="1:6">
      <c r="A51" s="348" t="s">
        <v>42</v>
      </c>
      <c r="B51" s="348" t="s">
        <v>43</v>
      </c>
      <c r="C51" s="334">
        <v>3</v>
      </c>
      <c r="D51" s="334">
        <v>22840</v>
      </c>
      <c r="E51" s="334">
        <v>19</v>
      </c>
      <c r="F51" s="334">
        <v>445345</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v>
      </c>
      <c r="F54" s="334">
        <v>723998</v>
      </c>
    </row>
    <row r="55" spans="1:6">
      <c r="A55" s="348" t="s">
        <v>46</v>
      </c>
      <c r="B55" s="348" t="s">
        <v>29</v>
      </c>
      <c r="C55" s="334">
        <v>0</v>
      </c>
      <c r="D55" s="334">
        <v>0</v>
      </c>
      <c r="E55" s="334">
        <v>0</v>
      </c>
      <c r="F55" s="334">
        <v>0</v>
      </c>
    </row>
    <row r="56" spans="1:6">
      <c r="A56" s="348" t="s">
        <v>48</v>
      </c>
      <c r="B56" s="348" t="s">
        <v>29</v>
      </c>
      <c r="C56" s="334">
        <v>3</v>
      </c>
      <c r="D56" s="334">
        <v>148561</v>
      </c>
      <c r="E56" s="334">
        <v>4</v>
      </c>
      <c r="F56" s="334">
        <v>135965</v>
      </c>
    </row>
    <row r="57" spans="1:6">
      <c r="A57" s="348" t="s">
        <v>49</v>
      </c>
      <c r="B57" s="348" t="s">
        <v>50</v>
      </c>
      <c r="C57" s="334">
        <v>17</v>
      </c>
      <c r="D57" s="334">
        <v>2025935</v>
      </c>
      <c r="E57" s="334">
        <v>50</v>
      </c>
      <c r="F57" s="334">
        <v>1383172</v>
      </c>
    </row>
    <row r="58" spans="1:6">
      <c r="A58" s="348" t="s">
        <v>49</v>
      </c>
      <c r="B58" s="348" t="s">
        <v>51</v>
      </c>
      <c r="C58" s="334">
        <v>9</v>
      </c>
      <c r="D58" s="334">
        <v>983797</v>
      </c>
      <c r="E58" s="334">
        <v>15</v>
      </c>
      <c r="F58" s="334">
        <v>401230</v>
      </c>
    </row>
    <row r="59" spans="1:6">
      <c r="A59" s="348" t="s">
        <v>49</v>
      </c>
      <c r="B59" s="348" t="s">
        <v>52</v>
      </c>
      <c r="C59" s="334">
        <v>77</v>
      </c>
      <c r="D59" s="334">
        <v>15682415</v>
      </c>
      <c r="E59" s="334">
        <v>149</v>
      </c>
      <c r="F59" s="334">
        <v>11015835</v>
      </c>
    </row>
    <row r="60" spans="1:6">
      <c r="A60" s="348" t="s">
        <v>49</v>
      </c>
      <c r="B60" s="348" t="s">
        <v>53</v>
      </c>
      <c r="C60" s="334">
        <v>17</v>
      </c>
      <c r="D60" s="334">
        <v>695812</v>
      </c>
      <c r="E60" s="334">
        <v>25</v>
      </c>
      <c r="F60" s="334">
        <v>1024054</v>
      </c>
    </row>
    <row r="61" spans="1:6">
      <c r="A61" s="348" t="s">
        <v>49</v>
      </c>
      <c r="B61" s="348" t="s">
        <v>54</v>
      </c>
      <c r="C61" s="334">
        <v>43</v>
      </c>
      <c r="D61" s="334">
        <v>4261665</v>
      </c>
      <c r="E61" s="334">
        <v>113</v>
      </c>
      <c r="F61" s="334">
        <v>4749960</v>
      </c>
    </row>
    <row r="62" spans="1:6">
      <c r="A62" s="348" t="s">
        <v>49</v>
      </c>
      <c r="B62" s="348" t="s">
        <v>55</v>
      </c>
      <c r="C62" s="334">
        <v>0</v>
      </c>
      <c r="D62" s="334">
        <v>0</v>
      </c>
      <c r="E62" s="334">
        <v>0</v>
      </c>
      <c r="F62" s="334">
        <v>0</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898883</v>
      </c>
      <c r="E68" s="334">
        <v>7</v>
      </c>
      <c r="F68" s="334">
        <v>523757</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31082138</v>
      </c>
      <c r="E73" s="476">
        <v>31446840.141410761</v>
      </c>
    </row>
    <row r="74" spans="1:6">
      <c r="A74" s="348" t="s">
        <v>64</v>
      </c>
      <c r="B74" s="348" t="s">
        <v>657</v>
      </c>
      <c r="C74" s="1213" t="s">
        <v>659</v>
      </c>
      <c r="D74" s="476">
        <v>2420684.8784165708</v>
      </c>
      <c r="E74" s="476">
        <v>2461746.0896361261</v>
      </c>
    </row>
    <row r="75" spans="1:6">
      <c r="A75" s="348" t="s">
        <v>65</v>
      </c>
      <c r="B75" s="348" t="s">
        <v>656</v>
      </c>
      <c r="C75" s="1213" t="s">
        <v>660</v>
      </c>
      <c r="D75" s="476">
        <v>25226880</v>
      </c>
      <c r="E75" s="476">
        <v>25468830.454037886</v>
      </c>
    </row>
    <row r="76" spans="1:6">
      <c r="A76" s="348" t="s">
        <v>65</v>
      </c>
      <c r="B76" s="348" t="s">
        <v>657</v>
      </c>
      <c r="C76" s="1213" t="s">
        <v>661</v>
      </c>
      <c r="D76" s="476">
        <v>585844.87841657083</v>
      </c>
      <c r="E76" s="476">
        <v>589163.9138334482</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313406.24316685833</v>
      </c>
      <c r="C83" s="476">
        <v>320473.21724258107</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4547.6316485459884</v>
      </c>
    </row>
    <row r="92" spans="1:6">
      <c r="A92" s="341" t="s">
        <v>69</v>
      </c>
      <c r="B92" s="342">
        <v>8331.4838358640445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217</v>
      </c>
    </row>
    <row r="98" spans="1:6">
      <c r="A98" s="348" t="s">
        <v>72</v>
      </c>
      <c r="B98" s="334">
        <v>5</v>
      </c>
    </row>
    <row r="99" spans="1:6">
      <c r="A99" s="348" t="s">
        <v>73</v>
      </c>
      <c r="B99" s="334">
        <v>11</v>
      </c>
    </row>
    <row r="100" spans="1:6">
      <c r="A100" s="348" t="s">
        <v>74</v>
      </c>
      <c r="B100" s="334">
        <v>176</v>
      </c>
    </row>
    <row r="101" spans="1:6">
      <c r="A101" s="348" t="s">
        <v>75</v>
      </c>
      <c r="B101" s="334">
        <v>42</v>
      </c>
    </row>
    <row r="102" spans="1:6">
      <c r="A102" s="348" t="s">
        <v>76</v>
      </c>
      <c r="B102" s="334">
        <v>26</v>
      </c>
    </row>
    <row r="103" spans="1:6">
      <c r="A103" s="348" t="s">
        <v>77</v>
      </c>
      <c r="B103" s="334">
        <v>39</v>
      </c>
    </row>
    <row r="104" spans="1:6">
      <c r="A104" s="348" t="s">
        <v>78</v>
      </c>
      <c r="B104" s="334">
        <v>2697</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22</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149</v>
      </c>
    </row>
    <row r="130" spans="1:6">
      <c r="A130" s="348" t="s">
        <v>295</v>
      </c>
      <c r="B130" s="334">
        <v>3</v>
      </c>
    </row>
    <row r="131" spans="1:6">
      <c r="A131" s="348" t="s">
        <v>296</v>
      </c>
      <c r="B131" s="334">
        <v>0</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51959.473752805476</v>
      </c>
      <c r="C3" s="43" t="s">
        <v>170</v>
      </c>
      <c r="D3" s="43"/>
      <c r="E3" s="154"/>
      <c r="F3" s="43"/>
      <c r="G3" s="43"/>
      <c r="H3" s="43"/>
      <c r="I3" s="43"/>
      <c r="J3" s="43"/>
      <c r="K3" s="96"/>
    </row>
    <row r="4" spans="1:11">
      <c r="A4" s="383" t="s">
        <v>171</v>
      </c>
      <c r="B4" s="49">
        <f>IF(ISERROR('SEAP template'!B69),0,'SEAP template'!B69)</f>
        <v>12879.115484410033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0.16622106718024762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723.99800000000005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723.99800000000005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0.16622106718024762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120.34372019636493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13500.963250000001</v>
      </c>
      <c r="C5" s="17">
        <f>IF(ISERROR('Eigen informatie GS &amp; warmtenet'!B57),0,'Eigen informatie GS &amp; warmtenet'!B57)</f>
        <v>0</v>
      </c>
      <c r="D5" s="30">
        <f>(SUM(HH_hh_gas_kWh,HH_rest_gas_kWh)/1000)*0.902</f>
        <v>23987.722650099997</v>
      </c>
      <c r="E5" s="17">
        <f>B46*B57</f>
        <v>931.12258090941975</v>
      </c>
      <c r="F5" s="17">
        <f>B51*B62</f>
        <v>36152.992294846008</v>
      </c>
      <c r="G5" s="18"/>
      <c r="H5" s="17"/>
      <c r="I5" s="17"/>
      <c r="J5" s="17">
        <f>B50*B61+C50*C61</f>
        <v>0</v>
      </c>
      <c r="K5" s="17"/>
      <c r="L5" s="17"/>
      <c r="M5" s="17"/>
      <c r="N5" s="17">
        <f>B48*B59+C48*C59</f>
        <v>12115.912613293387</v>
      </c>
      <c r="O5" s="17">
        <f>B69*B70*B71</f>
        <v>270.45666666666671</v>
      </c>
      <c r="P5" s="17">
        <f>B77*B78*B79/1000-B77*B78*B79/1000/B80</f>
        <v>552.93333333333339</v>
      </c>
    </row>
    <row r="6" spans="1:16">
      <c r="A6" s="16" t="s">
        <v>621</v>
      </c>
      <c r="B6" s="843">
        <f>kWh_PV_kleiner_dan_10kW</f>
        <v>4547.6316485459884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18048.594898545991</v>
      </c>
      <c r="C8" s="21">
        <f>C5</f>
        <v>0</v>
      </c>
      <c r="D8" s="21">
        <f>D5</f>
        <v>23987.722650099997</v>
      </c>
      <c r="E8" s="21">
        <f>E5</f>
        <v>931.12258090941975</v>
      </c>
      <c r="F8" s="21">
        <f>F5</f>
        <v>36152.992294846008</v>
      </c>
      <c r="G8" s="21"/>
      <c r="H8" s="21"/>
      <c r="I8" s="21"/>
      <c r="J8" s="21">
        <f>J5</f>
        <v>0</v>
      </c>
      <c r="K8" s="21"/>
      <c r="L8" s="21">
        <f>L5</f>
        <v>0</v>
      </c>
      <c r="M8" s="21">
        <f>M5</f>
        <v>0</v>
      </c>
      <c r="N8" s="21">
        <f>N5</f>
        <v>12115.912613293387</v>
      </c>
      <c r="O8" s="21">
        <f>O5</f>
        <v>270.45666666666671</v>
      </c>
      <c r="P8" s="21">
        <f>P5</f>
        <v>552.93333333333339</v>
      </c>
    </row>
    <row r="9" spans="1:16">
      <c r="B9" s="19"/>
      <c r="C9" s="19"/>
      <c r="D9" s="258"/>
      <c r="E9" s="19"/>
      <c r="F9" s="19"/>
      <c r="G9" s="19"/>
      <c r="H9" s="19"/>
      <c r="I9" s="19"/>
      <c r="J9" s="19"/>
      <c r="K9" s="19"/>
      <c r="L9" s="19"/>
      <c r="M9" s="19"/>
      <c r="N9" s="19"/>
      <c r="O9" s="19"/>
      <c r="P9" s="19"/>
    </row>
    <row r="10" spans="1:16">
      <c r="A10" s="24" t="s">
        <v>214</v>
      </c>
      <c r="B10" s="25">
        <f ca="1">'EF ele_warmte'!B12</f>
        <v>0.16622106718024762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3000.0567051402877</v>
      </c>
      <c r="C12" s="23">
        <f ca="1">C10*C8</f>
        <v>0</v>
      </c>
      <c r="D12" s="23">
        <f>D8*D10</f>
        <v>4845.5199753201996</v>
      </c>
      <c r="E12" s="23">
        <f>E10*E8</f>
        <v>211.36482586643828</v>
      </c>
      <c r="F12" s="23">
        <f>F10*F8</f>
        <v>9652.8489427238856</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217</v>
      </c>
      <c r="C18" s="166" t="s">
        <v>111</v>
      </c>
      <c r="D18" s="228"/>
      <c r="E18" s="15"/>
    </row>
    <row r="19" spans="1:7">
      <c r="A19" s="171" t="s">
        <v>72</v>
      </c>
      <c r="B19" s="37">
        <f>aantalw2001_ander</f>
        <v>5</v>
      </c>
      <c r="C19" s="166" t="s">
        <v>111</v>
      </c>
      <c r="D19" s="229"/>
      <c r="E19" s="15"/>
    </row>
    <row r="20" spans="1:7">
      <c r="A20" s="171" t="s">
        <v>73</v>
      </c>
      <c r="B20" s="37">
        <f>aantalw2001_propaan</f>
        <v>11</v>
      </c>
      <c r="C20" s="167">
        <f>IF(ISERROR(B20/SUM($B$20,$B$21,$B$22)*100),0,B20/SUM($B$20,$B$21,$B$22)*100)</f>
        <v>4.8034934497816595</v>
      </c>
      <c r="D20" s="229"/>
      <c r="E20" s="15"/>
    </row>
    <row r="21" spans="1:7">
      <c r="A21" s="171" t="s">
        <v>74</v>
      </c>
      <c r="B21" s="37">
        <f>aantalw2001_elektriciteit</f>
        <v>176</v>
      </c>
      <c r="C21" s="167">
        <f>IF(ISERROR(B21/SUM($B$20,$B$21,$B$22)*100),0,B21/SUM($B$20,$B$21,$B$22)*100)</f>
        <v>76.855895196506552</v>
      </c>
      <c r="D21" s="229"/>
      <c r="E21" s="15"/>
    </row>
    <row r="22" spans="1:7">
      <c r="A22" s="171" t="s">
        <v>75</v>
      </c>
      <c r="B22" s="37">
        <f>aantalw2001_hout</f>
        <v>42</v>
      </c>
      <c r="C22" s="167">
        <f>IF(ISERROR(B22/SUM($B$20,$B$21,$B$22)*100),0,B22/SUM($B$20,$B$21,$B$22)*100)</f>
        <v>18.340611353711793</v>
      </c>
      <c r="D22" s="229"/>
      <c r="E22" s="15"/>
    </row>
    <row r="23" spans="1:7">
      <c r="A23" s="171" t="s">
        <v>76</v>
      </c>
      <c r="B23" s="37">
        <f>aantalw2001_niet_gespec</f>
        <v>26</v>
      </c>
      <c r="C23" s="166" t="s">
        <v>111</v>
      </c>
      <c r="D23" s="228"/>
      <c r="E23" s="15"/>
    </row>
    <row r="24" spans="1:7">
      <c r="A24" s="171" t="s">
        <v>77</v>
      </c>
      <c r="B24" s="37">
        <f>aantalw2001_steenkool</f>
        <v>39</v>
      </c>
      <c r="C24" s="166" t="s">
        <v>111</v>
      </c>
      <c r="D24" s="229"/>
      <c r="E24" s="15"/>
    </row>
    <row r="25" spans="1:7">
      <c r="A25" s="171" t="s">
        <v>78</v>
      </c>
      <c r="B25" s="37">
        <f>aantalw2001_stookolie</f>
        <v>2697</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4003</v>
      </c>
      <c r="C28" s="36"/>
      <c r="D28" s="228"/>
    </row>
    <row r="29" spans="1:7" s="15" customFormat="1">
      <c r="A29" s="230" t="s">
        <v>795</v>
      </c>
      <c r="B29" s="37">
        <f>SUM(HH_hh_gas_aantal,HH_rest_gas_aantal)</f>
        <v>1662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1662</v>
      </c>
      <c r="C32" s="167">
        <f>IF(ISERROR(B32/SUM($B$32,$B$34,$B$35,$B$36,$B$38,$B$39)*100),0,B32/SUM($B$32,$B$34,$B$35,$B$36,$B$38,$B$39)*100)</f>
        <v>41.821841972823357</v>
      </c>
      <c r="D32" s="233"/>
      <c r="G32" s="15"/>
    </row>
    <row r="33" spans="1:7">
      <c r="A33" s="171" t="s">
        <v>72</v>
      </c>
      <c r="B33" s="34" t="s">
        <v>111</v>
      </c>
      <c r="C33" s="167"/>
      <c r="D33" s="233"/>
      <c r="G33" s="15"/>
    </row>
    <row r="34" spans="1:7">
      <c r="A34" s="171" t="s">
        <v>73</v>
      </c>
      <c r="B34" s="33">
        <f>IF((($B$28-$B$32-$B$39-$B$77-$B$38)*C20/100)&lt;0,0,($B$28-$B$32-$B$39-$B$77-$B$38)*C20/100)</f>
        <v>43.975982532751097</v>
      </c>
      <c r="C34" s="167">
        <f>IF(ISERROR(B34/SUM($B$32,$B$34,$B$35,$B$36,$B$38,$B$39)*100),0,B34/SUM($B$32,$B$34,$B$35,$B$36,$B$38,$B$39)*100)</f>
        <v>1.1065924140098413</v>
      </c>
      <c r="D34" s="233"/>
      <c r="G34" s="15"/>
    </row>
    <row r="35" spans="1:7">
      <c r="A35" s="171" t="s">
        <v>74</v>
      </c>
      <c r="B35" s="33">
        <f>IF((($B$28-$B$32-$B$39-$B$77-$B$38)*C21/100)&lt;0,0,($B$28-$B$32-$B$39-$B$77-$B$38)*C21/100)</f>
        <v>703.61572052401755</v>
      </c>
      <c r="C35" s="167">
        <f>IF(ISERROR(B35/SUM($B$32,$B$34,$B$35,$B$36,$B$38,$B$39)*100),0,B35/SUM($B$32,$B$34,$B$35,$B$36,$B$38,$B$39)*100)</f>
        <v>17.705478624157461</v>
      </c>
      <c r="D35" s="233"/>
      <c r="G35" s="15"/>
    </row>
    <row r="36" spans="1:7">
      <c r="A36" s="171" t="s">
        <v>75</v>
      </c>
      <c r="B36" s="33">
        <f>IF((($B$28-$B$32-$B$39-$B$77-$B$38)*C22/100)&lt;0,0,($B$28-$B$32-$B$39-$B$77-$B$38)*C22/100)</f>
        <v>167.90829694323148</v>
      </c>
      <c r="C36" s="167">
        <f>IF(ISERROR(B36/SUM($B$32,$B$34,$B$35,$B$36,$B$38,$B$39)*100),0,B36/SUM($B$32,$B$34,$B$35,$B$36,$B$38,$B$39)*100)</f>
        <v>4.2251710353103036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1396.5</v>
      </c>
      <c r="C39" s="167">
        <f>IF(ISERROR(B39/SUM($B$32,$B$34,$B$35,$B$36,$B$38,$B$39)*100),0,B39/SUM($B$32,$B$34,$B$35,$B$36,$B$38,$B$39)*100)</f>
        <v>35.140915953699043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1662</v>
      </c>
      <c r="C44" s="34" t="s">
        <v>111</v>
      </c>
      <c r="D44" s="174"/>
    </row>
    <row r="45" spans="1:7">
      <c r="A45" s="171" t="s">
        <v>72</v>
      </c>
      <c r="B45" s="33" t="str">
        <f t="shared" si="0"/>
        <v>-</v>
      </c>
      <c r="C45" s="34" t="s">
        <v>111</v>
      </c>
      <c r="D45" s="174"/>
    </row>
    <row r="46" spans="1:7">
      <c r="A46" s="171" t="s">
        <v>73</v>
      </c>
      <c r="B46" s="33">
        <f t="shared" si="0"/>
        <v>43.975982532751097</v>
      </c>
      <c r="C46" s="34" t="s">
        <v>111</v>
      </c>
      <c r="D46" s="174"/>
    </row>
    <row r="47" spans="1:7">
      <c r="A47" s="171" t="s">
        <v>74</v>
      </c>
      <c r="B47" s="33">
        <f t="shared" si="0"/>
        <v>703.61572052401755</v>
      </c>
      <c r="C47" s="34" t="s">
        <v>111</v>
      </c>
      <c r="D47" s="174"/>
    </row>
    <row r="48" spans="1:7">
      <c r="A48" s="171" t="s">
        <v>75</v>
      </c>
      <c r="B48" s="33">
        <f t="shared" si="0"/>
        <v>167.90829694323148</v>
      </c>
      <c r="C48" s="33">
        <f>B48*10</f>
        <v>1679.0829694323147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1396.5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18574.250999999997</v>
      </c>
      <c r="C5" s="17">
        <f>IF(ISERROR('Eigen informatie GS &amp; warmtenet'!B58),0,'Eigen informatie GS &amp; warmtenet'!B58)</f>
        <v>0</v>
      </c>
      <c r="D5" s="30">
        <f>SUM(D6:D12)</f>
        <v>21331.960848000002</v>
      </c>
      <c r="E5" s="17">
        <f>SUM(E6:E12)</f>
        <v>415.91084346993568</v>
      </c>
      <c r="F5" s="17">
        <f>SUM(F6:F12)</f>
        <v>3386.7298602085393</v>
      </c>
      <c r="G5" s="18"/>
      <c r="H5" s="17"/>
      <c r="I5" s="17"/>
      <c r="J5" s="17">
        <f>SUM(J6:J12)</f>
        <v>3.0023242235468855E-2</v>
      </c>
      <c r="K5" s="17"/>
      <c r="L5" s="17"/>
      <c r="M5" s="17"/>
      <c r="N5" s="17">
        <f>SUM(N6:N12)</f>
        <v>1200.8585725462397</v>
      </c>
      <c r="O5" s="17">
        <f>B38*B39*B40</f>
        <v>4.6900000000000004</v>
      </c>
      <c r="P5" s="17">
        <f>B46*B47*B48/1000-B46*B47*B48/1000/B49</f>
        <v>0</v>
      </c>
      <c r="R5" s="32"/>
    </row>
    <row r="6" spans="1:18">
      <c r="A6" s="32" t="s">
        <v>54</v>
      </c>
      <c r="B6" s="37">
        <f>B26</f>
        <v>4749.96</v>
      </c>
      <c r="C6" s="33"/>
      <c r="D6" s="37">
        <f>IF(ISERROR(TER_kantoor_gas_kWh/1000),0,TER_kantoor_gas_kWh/1000)*0.902</f>
        <v>3844.0218300000001</v>
      </c>
      <c r="E6" s="33">
        <f>$C$26*'E Balans VL '!I12/100/3.6*1000000</f>
        <v>2.9771169468053981E-2</v>
      </c>
      <c r="F6" s="33">
        <f>$C$26*('E Balans VL '!L12+'E Balans VL '!N12)/100/3.6*1000000</f>
        <v>713.78626145897044</v>
      </c>
      <c r="G6" s="34"/>
      <c r="H6" s="33"/>
      <c r="I6" s="33"/>
      <c r="J6" s="33">
        <f>$C$26*('E Balans VL '!D12+'E Balans VL '!E12)/100/3.6*1000000</f>
        <v>0</v>
      </c>
      <c r="K6" s="33"/>
      <c r="L6" s="33"/>
      <c r="M6" s="33"/>
      <c r="N6" s="33">
        <f>$C$26*'E Balans VL '!Y12/100/3.6*1000000</f>
        <v>4.5426324811416992</v>
      </c>
      <c r="O6" s="33"/>
      <c r="P6" s="33"/>
      <c r="R6" s="32"/>
    </row>
    <row r="7" spans="1:18">
      <c r="A7" s="32" t="s">
        <v>53</v>
      </c>
      <c r="B7" s="37">
        <f t="shared" ref="B7:B12" si="0">B27</f>
        <v>1024.0540000000001</v>
      </c>
      <c r="C7" s="33"/>
      <c r="D7" s="37">
        <f>IF(ISERROR(TER_horeca_gas_kWh/1000),0,TER_horeca_gas_kWh/1000)*0.902</f>
        <v>627.62242400000002</v>
      </c>
      <c r="E7" s="33">
        <f>$C$27*'E Balans VL '!I9/100/3.6*1000000</f>
        <v>14.664282705166013</v>
      </c>
      <c r="F7" s="33">
        <f>$C$27*('E Balans VL '!L9+'E Balans VL '!N9)/100/3.6*1000000</f>
        <v>129.67901100211571</v>
      </c>
      <c r="G7" s="34"/>
      <c r="H7" s="33"/>
      <c r="I7" s="33"/>
      <c r="J7" s="33">
        <f>$C$27*('E Balans VL '!D9+'E Balans VL '!E9)/100/3.6*1000000</f>
        <v>0</v>
      </c>
      <c r="K7" s="33"/>
      <c r="L7" s="33"/>
      <c r="M7" s="33"/>
      <c r="N7" s="33">
        <f>$C$27*'E Balans VL '!Y9/100/3.6*1000000</f>
        <v>0.29439294654742676</v>
      </c>
      <c r="O7" s="33"/>
      <c r="P7" s="33"/>
      <c r="R7" s="32"/>
    </row>
    <row r="8" spans="1:18">
      <c r="A8" s="6" t="s">
        <v>52</v>
      </c>
      <c r="B8" s="37">
        <f t="shared" si="0"/>
        <v>11015.834999999999</v>
      </c>
      <c r="C8" s="33"/>
      <c r="D8" s="37">
        <f>IF(ISERROR(TER_handel_gas_kWh/1000),0,TER_handel_gas_kWh/1000)*0.902</f>
        <v>14145.538330000001</v>
      </c>
      <c r="E8" s="33">
        <f>$C$28*'E Balans VL '!I13/100/3.6*1000000</f>
        <v>399.54297703808675</v>
      </c>
      <c r="F8" s="33">
        <f>$C$28*('E Balans VL '!L13+'E Balans VL '!N13)/100/3.6*1000000</f>
        <v>2121.7613634210211</v>
      </c>
      <c r="G8" s="34"/>
      <c r="H8" s="33"/>
      <c r="I8" s="33"/>
      <c r="J8" s="33">
        <f>$C$28*('E Balans VL '!D13+'E Balans VL '!E13)/100/3.6*1000000</f>
        <v>0</v>
      </c>
      <c r="K8" s="33"/>
      <c r="L8" s="33"/>
      <c r="M8" s="33"/>
      <c r="N8" s="33">
        <f>$C$28*'E Balans VL '!Y13/100/3.6*1000000</f>
        <v>15.259466105592363</v>
      </c>
      <c r="O8" s="33"/>
      <c r="P8" s="33"/>
      <c r="R8" s="32"/>
    </row>
    <row r="9" spans="1:18">
      <c r="A9" s="32" t="s">
        <v>51</v>
      </c>
      <c r="B9" s="37">
        <f t="shared" si="0"/>
        <v>401.23</v>
      </c>
      <c r="C9" s="33"/>
      <c r="D9" s="37">
        <f>IF(ISERROR(TER_gezond_gas_kWh/1000),0,TER_gezond_gas_kWh/1000)*0.902</f>
        <v>887.38489400000003</v>
      </c>
      <c r="E9" s="33">
        <f>$C$29*'E Balans VL '!I10/100/3.6*1000000</f>
        <v>2.5120959430576191E-2</v>
      </c>
      <c r="F9" s="33">
        <f>$C$29*('E Balans VL '!L10+'E Balans VL '!N10)/100/3.6*1000000</f>
        <v>59.603938129008213</v>
      </c>
      <c r="G9" s="34"/>
      <c r="H9" s="33"/>
      <c r="I9" s="33"/>
      <c r="J9" s="33">
        <f>$C$29*('E Balans VL '!D10+'E Balans VL '!E10)/100/3.6*1000000</f>
        <v>0</v>
      </c>
      <c r="K9" s="33"/>
      <c r="L9" s="33"/>
      <c r="M9" s="33"/>
      <c r="N9" s="33">
        <f>$C$29*'E Balans VL '!Y10/100/3.6*1000000</f>
        <v>6.2062643553856027</v>
      </c>
      <c r="O9" s="33"/>
      <c r="P9" s="33"/>
      <c r="R9" s="32"/>
    </row>
    <row r="10" spans="1:18">
      <c r="A10" s="32" t="s">
        <v>50</v>
      </c>
      <c r="B10" s="37">
        <f t="shared" si="0"/>
        <v>1383.172</v>
      </c>
      <c r="C10" s="33"/>
      <c r="D10" s="37">
        <f>IF(ISERROR(TER_ander_gas_kWh/1000),0,TER_ander_gas_kWh/1000)*0.902</f>
        <v>1827.39337</v>
      </c>
      <c r="E10" s="33">
        <f>$C$30*'E Balans VL '!I14/100/3.6*1000000</f>
        <v>1.6486915977842831</v>
      </c>
      <c r="F10" s="33">
        <f>$C$30*('E Balans VL '!L14+'E Balans VL '!N14)/100/3.6*1000000</f>
        <v>361.89928619742381</v>
      </c>
      <c r="G10" s="34"/>
      <c r="H10" s="33"/>
      <c r="I10" s="33"/>
      <c r="J10" s="33">
        <f>$C$30*('E Balans VL '!D14+'E Balans VL '!E14)/100/3.6*1000000</f>
        <v>3.0023242235468855E-2</v>
      </c>
      <c r="K10" s="33"/>
      <c r="L10" s="33"/>
      <c r="M10" s="33"/>
      <c r="N10" s="33">
        <f>$C$30*'E Balans VL '!Y14/100/3.6*1000000</f>
        <v>1174.5558166575727</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18574.250999999997</v>
      </c>
      <c r="C16" s="21">
        <f t="shared" ca="1" si="1"/>
        <v>0</v>
      </c>
      <c r="D16" s="21">
        <f t="shared" ca="1" si="1"/>
        <v>21331.960848000002</v>
      </c>
      <c r="E16" s="21">
        <f t="shared" si="1"/>
        <v>415.91084346993568</v>
      </c>
      <c r="F16" s="21">
        <f t="shared" ca="1" si="1"/>
        <v>3386.7298602085393</v>
      </c>
      <c r="G16" s="21">
        <f t="shared" si="1"/>
        <v>0</v>
      </c>
      <c r="H16" s="21">
        <f t="shared" si="1"/>
        <v>0</v>
      </c>
      <c r="I16" s="21">
        <f t="shared" si="1"/>
        <v>0</v>
      </c>
      <c r="J16" s="21">
        <f t="shared" si="1"/>
        <v>3.0023242235468855E-2</v>
      </c>
      <c r="K16" s="21">
        <f t="shared" si="1"/>
        <v>0</v>
      </c>
      <c r="L16" s="21">
        <f t="shared" ca="1" si="1"/>
        <v>0</v>
      </c>
      <c r="M16" s="21">
        <f t="shared" si="1"/>
        <v>0</v>
      </c>
      <c r="N16" s="21">
        <f t="shared" ca="1" si="1"/>
        <v>1200.8585725462397</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0.16622106718024762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3087.4318232937812</v>
      </c>
      <c r="C20" s="23">
        <f t="shared" ref="C20:P20" ca="1" si="2">C16*C18</f>
        <v>0</v>
      </c>
      <c r="D20" s="23">
        <f t="shared" ca="1" si="2"/>
        <v>4309.0560912960009</v>
      </c>
      <c r="E20" s="23">
        <f t="shared" si="2"/>
        <v>94.411761467675404</v>
      </c>
      <c r="F20" s="23">
        <f t="shared" ca="1" si="2"/>
        <v>904.25687267568003</v>
      </c>
      <c r="G20" s="23">
        <f t="shared" si="2"/>
        <v>0</v>
      </c>
      <c r="H20" s="23">
        <f t="shared" si="2"/>
        <v>0</v>
      </c>
      <c r="I20" s="23">
        <f t="shared" si="2"/>
        <v>0</v>
      </c>
      <c r="J20" s="23">
        <f t="shared" si="2"/>
        <v>1.0628227751355974E-2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4749.96</v>
      </c>
      <c r="C26" s="39">
        <f>IF(ISERROR(B26*3.6/1000000/'E Balans VL '!Z12*100),0,B26*3.6/1000000/'E Balans VL '!Z12*100)</f>
        <v>0.10040662985556441</v>
      </c>
      <c r="D26" s="237" t="s">
        <v>754</v>
      </c>
      <c r="F26" s="6"/>
    </row>
    <row r="27" spans="1:18">
      <c r="A27" s="231" t="s">
        <v>53</v>
      </c>
      <c r="B27" s="33">
        <f>IF(ISERROR(TER_horeca_ele_kWh/1000),0,TER_horeca_ele_kWh/1000)</f>
        <v>1024.0540000000001</v>
      </c>
      <c r="C27" s="39">
        <f>IF(ISERROR(B27*3.6/1000000/'E Balans VL '!Z9*100),0,B27*3.6/1000000/'E Balans VL '!Z9*100)</f>
        <v>8.0725795135588502E-2</v>
      </c>
      <c r="D27" s="237" t="s">
        <v>754</v>
      </c>
      <c r="F27" s="6"/>
    </row>
    <row r="28" spans="1:18">
      <c r="A28" s="171" t="s">
        <v>52</v>
      </c>
      <c r="B28" s="33">
        <f>IF(ISERROR(TER_handel_ele_kWh/1000),0,TER_handel_ele_kWh/1000)</f>
        <v>11015.834999999999</v>
      </c>
      <c r="C28" s="39">
        <f>IF(ISERROR(B28*3.6/1000000/'E Balans VL '!Z13*100),0,B28*3.6/1000000/'E Balans VL '!Z13*100)</f>
        <v>0.31972404066090077</v>
      </c>
      <c r="D28" s="237" t="s">
        <v>754</v>
      </c>
      <c r="F28" s="6"/>
    </row>
    <row r="29" spans="1:18">
      <c r="A29" s="231" t="s">
        <v>51</v>
      </c>
      <c r="B29" s="33">
        <f>IF(ISERROR(TER_gezond_ele_kWh/1000),0,TER_gezond_ele_kWh/1000)</f>
        <v>401.23</v>
      </c>
      <c r="C29" s="39">
        <f>IF(ISERROR(B29*3.6/1000000/'E Balans VL '!Z10*100),0,B29*3.6/1000000/'E Balans VL '!Z10*100)</f>
        <v>4.2256107370507522E-2</v>
      </c>
      <c r="D29" s="237" t="s">
        <v>754</v>
      </c>
      <c r="F29" s="6"/>
    </row>
    <row r="30" spans="1:18">
      <c r="A30" s="231" t="s">
        <v>50</v>
      </c>
      <c r="B30" s="33">
        <f>IF(ISERROR(TER_ander_ele_kWh/1000),0,TER_ander_ele_kWh/1000)</f>
        <v>1383.172</v>
      </c>
      <c r="C30" s="39">
        <f>IF(ISERROR(B30*3.6/1000000/'E Balans VL '!Z14*100),0,B30*3.6/1000000/'E Balans VL '!Z14*100)</f>
        <v>0.10202306714346399</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14145.1327</v>
      </c>
      <c r="C5" s="17">
        <f>IF(ISERROR('Eigen informatie GS &amp; warmtenet'!B59),0,'Eigen informatie GS &amp; warmtenet'!B59)</f>
        <v>0</v>
      </c>
      <c r="D5" s="30">
        <f>SUM(D6:D15)</f>
        <v>8880.3961972000016</v>
      </c>
      <c r="E5" s="17">
        <f>SUM(E6:E15)</f>
        <v>1577.8582581668768</v>
      </c>
      <c r="F5" s="17">
        <f>SUM(F6:F15)</f>
        <v>6159.0353043165633</v>
      </c>
      <c r="G5" s="18"/>
      <c r="H5" s="17"/>
      <c r="I5" s="17"/>
      <c r="J5" s="17">
        <f>SUM(J6:J15)</f>
        <v>10.117982418051827</v>
      </c>
      <c r="K5" s="17"/>
      <c r="L5" s="17"/>
      <c r="M5" s="17"/>
      <c r="N5" s="17">
        <f>SUM(N6:N15)</f>
        <v>4504.6352793148289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2537.6210000000001</v>
      </c>
      <c r="C8" s="33"/>
      <c r="D8" s="37">
        <f>IF( ISERROR(IND_metaal_Gas_kWH/1000),0,IND_metaal_Gas_kWH/1000)*0.902</f>
        <v>2862.9858840000002</v>
      </c>
      <c r="E8" s="33">
        <f>C30*'E Balans VL '!I18/100/3.6*1000000</f>
        <v>23.330974237330473</v>
      </c>
      <c r="F8" s="33">
        <f>C30*'E Balans VL '!L18/100/3.6*1000000+C30*'E Balans VL '!N18/100/3.6*1000000</f>
        <v>237.94436384485428</v>
      </c>
      <c r="G8" s="34"/>
      <c r="H8" s="33"/>
      <c r="I8" s="33"/>
      <c r="J8" s="40">
        <f>C30*'E Balans VL '!D18/100/3.6*1000000+C30*'E Balans VL '!E18/100/3.6*1000000</f>
        <v>0</v>
      </c>
      <c r="K8" s="33"/>
      <c r="L8" s="33"/>
      <c r="M8" s="33"/>
      <c r="N8" s="33">
        <f>C30*'E Balans VL '!Y18/100/3.6*1000000</f>
        <v>36.203357160299191</v>
      </c>
      <c r="O8" s="33"/>
      <c r="P8" s="33"/>
      <c r="R8" s="32"/>
    </row>
    <row r="9" spans="1:18">
      <c r="A9" s="6" t="s">
        <v>33</v>
      </c>
      <c r="B9" s="37">
        <f t="shared" si="0"/>
        <v>4707.1797000000006</v>
      </c>
      <c r="C9" s="33"/>
      <c r="D9" s="37">
        <f>IF( ISERROR(IND_andere_gas_kWh/1000),0,IND_andere_gas_kWh/1000)*0.902</f>
        <v>2455.1200652000002</v>
      </c>
      <c r="E9" s="33">
        <f>C31*'E Balans VL '!I19/100/3.6*1000000</f>
        <v>1376.0002642901222</v>
      </c>
      <c r="F9" s="33">
        <f>C31*'E Balans VL '!L19/100/3.6*1000000+C31*'E Balans VL '!N19/100/3.6*1000000</f>
        <v>3782.5751897142668</v>
      </c>
      <c r="G9" s="34"/>
      <c r="H9" s="33"/>
      <c r="I9" s="33"/>
      <c r="J9" s="40">
        <f>C31*'E Balans VL '!D19/100/3.6*1000000+C31*'E Balans VL '!E19/100/3.6*1000000</f>
        <v>0</v>
      </c>
      <c r="K9" s="33"/>
      <c r="L9" s="33"/>
      <c r="M9" s="33"/>
      <c r="N9" s="33">
        <f>C31*'E Balans VL '!Y19/100/3.6*1000000</f>
        <v>1555.3251760612175</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256.38600000000002</v>
      </c>
      <c r="C11" s="33"/>
      <c r="D11" s="37">
        <f>IF( ISERROR(IND_textiel_gas_kWh/1000),0,IND_textiel_gas_kWh/1000)*0.902</f>
        <v>126.90238000000001</v>
      </c>
      <c r="E11" s="33">
        <f>C33*'E Balans VL '!I21/100/3.6*1000000</f>
        <v>0.76144431527733125</v>
      </c>
      <c r="F11" s="33">
        <f>C33*'E Balans VL '!L21/100/3.6*1000000+C33*'E Balans VL '!N21/100/3.6*1000000</f>
        <v>25.902024851141924</v>
      </c>
      <c r="G11" s="34"/>
      <c r="H11" s="33"/>
      <c r="I11" s="33"/>
      <c r="J11" s="40">
        <f>C33*'E Balans VL '!D21/100/3.6*1000000+C33*'E Balans VL '!E21/100/3.6*1000000</f>
        <v>0</v>
      </c>
      <c r="K11" s="33"/>
      <c r="L11" s="33"/>
      <c r="M11" s="33"/>
      <c r="N11" s="33">
        <f>C33*'E Balans VL '!Y21/100/3.6*1000000</f>
        <v>14.14050611855107</v>
      </c>
      <c r="O11" s="33"/>
      <c r="P11" s="33"/>
      <c r="R11" s="32"/>
    </row>
    <row r="12" spans="1:18">
      <c r="A12" s="6" t="s">
        <v>37</v>
      </c>
      <c r="B12" s="37">
        <f t="shared" si="0"/>
        <v>6106.5280000000002</v>
      </c>
      <c r="C12" s="33"/>
      <c r="D12" s="37">
        <f>IF( ISERROR(IND_min_gas_kWh/1000),0,IND_min_gas_kWh/1000)*0.902</f>
        <v>3435.3878680000003</v>
      </c>
      <c r="E12" s="33">
        <f>C34*'E Balans VL '!I22/100/3.6*1000000</f>
        <v>177.0031020886893</v>
      </c>
      <c r="F12" s="33">
        <f>C34*'E Balans VL '!L22/100/3.6*1000000+C34*'E Balans VL '!N22/100/3.6*1000000</f>
        <v>2099.4933317043287</v>
      </c>
      <c r="G12" s="34"/>
      <c r="H12" s="33"/>
      <c r="I12" s="33"/>
      <c r="J12" s="40">
        <f>C34*'E Balans VL '!D22/100/3.6*1000000+C34*'E Balans VL '!E22/100/3.6*1000000</f>
        <v>10.034865678764179</v>
      </c>
      <c r="K12" s="33"/>
      <c r="L12" s="33"/>
      <c r="M12" s="33"/>
      <c r="N12" s="33">
        <f>C34*'E Balans VL '!Y22/100/3.6*1000000</f>
        <v>1336.819329553362</v>
      </c>
      <c r="O12" s="33"/>
      <c r="P12" s="33"/>
      <c r="R12" s="32"/>
    </row>
    <row r="13" spans="1:18">
      <c r="A13" s="6" t="s">
        <v>39</v>
      </c>
      <c r="B13" s="37">
        <f t="shared" si="0"/>
        <v>537.41800000000001</v>
      </c>
      <c r="C13" s="33"/>
      <c r="D13" s="37">
        <f>IF( ISERROR(IND_papier_gas_kWh/1000),0,IND_papier_gas_kWh/1000)*0.902</f>
        <v>0</v>
      </c>
      <c r="E13" s="33">
        <f>C35*'E Balans VL '!I23/100/3.6*1000000</f>
        <v>0.76247323545752099</v>
      </c>
      <c r="F13" s="33">
        <f>C35*'E Balans VL '!L23/100/3.6*1000000+C35*'E Balans VL '!N23/100/3.6*1000000</f>
        <v>13.120394201971305</v>
      </c>
      <c r="G13" s="34"/>
      <c r="H13" s="33"/>
      <c r="I13" s="33"/>
      <c r="J13" s="40">
        <f>C35*'E Balans VL '!D23/100/3.6*1000000+C35*'E Balans VL '!E23/100/3.6*1000000</f>
        <v>8.3116739287649261E-2</v>
      </c>
      <c r="K13" s="33"/>
      <c r="L13" s="33"/>
      <c r="M13" s="33"/>
      <c r="N13" s="33">
        <f>C35*'E Balans VL '!Y23/100/3.6*1000000</f>
        <v>1562.1469104213998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14145.1327</v>
      </c>
      <c r="C18" s="21">
        <f>C5+C16</f>
        <v>0</v>
      </c>
      <c r="D18" s="21">
        <f>MAX((D5+D16),0)</f>
        <v>8880.3961972000016</v>
      </c>
      <c r="E18" s="21">
        <f>MAX((E5+E16),0)</f>
        <v>1577.8582581668768</v>
      </c>
      <c r="F18" s="21">
        <f>MAX((F5+F16),0)</f>
        <v>6159.0353043165633</v>
      </c>
      <c r="G18" s="21"/>
      <c r="H18" s="21"/>
      <c r="I18" s="21"/>
      <c r="J18" s="21">
        <f>MAX((J5+J16),0)</f>
        <v>10.117982418051827</v>
      </c>
      <c r="K18" s="21"/>
      <c r="L18" s="21">
        <f>MAX((L5+L16),0)</f>
        <v>0</v>
      </c>
      <c r="M18" s="21"/>
      <c r="N18" s="21">
        <f>MAX((N5+N16),0)</f>
        <v>4504.6352793148289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0.16622106718024762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2351.2190528002175</v>
      </c>
      <c r="C22" s="23">
        <f ca="1">C18*C20</f>
        <v>0</v>
      </c>
      <c r="D22" s="23">
        <f>D18*D20</f>
        <v>1793.8400318344004</v>
      </c>
      <c r="E22" s="23">
        <f>E18*E20</f>
        <v>358.17382460388103</v>
      </c>
      <c r="F22" s="23">
        <f>F18*F20</f>
        <v>1644.4624262525224</v>
      </c>
      <c r="G22" s="23"/>
      <c r="H22" s="23"/>
      <c r="I22" s="23"/>
      <c r="J22" s="23">
        <f>J18*J20</f>
        <v>3.5817657759903465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2537.6210000000001</v>
      </c>
      <c r="C30" s="39">
        <f>IF(ISERROR(B30*3.6/1000000/'E Balans VL '!Z18*100),0,B30*3.6/1000000/'E Balans VL '!Z18*100)</f>
        <v>0.14381348895582582</v>
      </c>
      <c r="D30" s="237" t="s">
        <v>754</v>
      </c>
    </row>
    <row r="31" spans="1:18">
      <c r="A31" s="6" t="s">
        <v>33</v>
      </c>
      <c r="B31" s="37">
        <f>IF( ISERROR(IND_ander_ele_kWh/1000),0,IND_ander_ele_kWh/1000)</f>
        <v>4707.1797000000006</v>
      </c>
      <c r="C31" s="39">
        <f>IF(ISERROR(B31*3.6/1000000/'E Balans VL '!Z19*100),0,B31*3.6/1000000/'E Balans VL '!Z19*100)</f>
        <v>0.21349807083686745</v>
      </c>
      <c r="D31" s="237" t="s">
        <v>754</v>
      </c>
    </row>
    <row r="32" spans="1:18">
      <c r="A32" s="171" t="s">
        <v>41</v>
      </c>
      <c r="B32" s="37">
        <f>IF( ISERROR(IND_voed_ele_kWh/1000),0,IND_voed_ele_kWh/1000)</f>
        <v>0</v>
      </c>
      <c r="C32" s="39">
        <f>IF(ISERROR(B32*3.6/1000000/'E Balans VL '!Z20*100),0,B32*3.6/1000000/'E Balans VL '!Z20*100)</f>
        <v>0</v>
      </c>
      <c r="D32" s="237" t="s">
        <v>754</v>
      </c>
    </row>
    <row r="33" spans="1:5">
      <c r="A33" s="171" t="s">
        <v>40</v>
      </c>
      <c r="B33" s="37">
        <f>IF( ISERROR(IND_textiel_ele_kWh/1000),0,IND_textiel_ele_kWh/1000)</f>
        <v>256.38600000000002</v>
      </c>
      <c r="C33" s="39">
        <f>IF(ISERROR(B33*3.6/1000000/'E Balans VL '!Z21*100),0,B33*3.6/1000000/'E Balans VL '!Z21*100)</f>
        <v>3.3429884524493955E-2</v>
      </c>
      <c r="D33" s="237" t="s">
        <v>754</v>
      </c>
    </row>
    <row r="34" spans="1:5">
      <c r="A34" s="171" t="s">
        <v>37</v>
      </c>
      <c r="B34" s="37">
        <f>IF( ISERROR(IND_min_ele_kWh/1000),0,IND_min_ele_kWh/1000)</f>
        <v>6106.5280000000002</v>
      </c>
      <c r="C34" s="39">
        <f>IF(ISERROR(B34*3.6/1000000/'E Balans VL '!Z22*100),0,B34*3.6/1000000/'E Balans VL '!Z22*100)</f>
        <v>1.0983738657206201</v>
      </c>
      <c r="D34" s="237" t="s">
        <v>754</v>
      </c>
    </row>
    <row r="35" spans="1:5">
      <c r="A35" s="171" t="s">
        <v>39</v>
      </c>
      <c r="B35" s="37">
        <f>IF( ISERROR(IND_papier_ele_kWh/1000),0,IND_papier_ele_kWh/1000)</f>
        <v>537.41800000000001</v>
      </c>
      <c r="C35" s="39">
        <f>IF(ISERROR(B35*3.6/1000000/'E Balans VL '!Z22*100),0,B35*3.6/1000000/'E Balans VL '!Z22*100)</f>
        <v>9.6664730951506989E-2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445.34500000000003</v>
      </c>
      <c r="C5" s="17">
        <f>'Eigen informatie GS &amp; warmtenet'!B60</f>
        <v>0</v>
      </c>
      <c r="D5" s="30">
        <f>IF(ISERROR(SUM(LB_lb_gas_kWh,LB_rest_gas_kWh,onbekend_gas_kWh)/1000),0,SUM(LB_lb_gas_kWh,LB_rest_gas_kWh,onbekend_gas_kWh)/1000)*0.902</f>
        <v>20.601680000000002</v>
      </c>
      <c r="E5" s="17">
        <f>B17*'E Balans VL '!I25/3.6*1000000/100</f>
        <v>13.09004979063101</v>
      </c>
      <c r="F5" s="17">
        <f>B17*('E Balans VL '!L25/3.6*1000000+'E Balans VL '!N25/3.6*1000000)/100</f>
        <v>1855.283204819325</v>
      </c>
      <c r="G5" s="18"/>
      <c r="H5" s="17"/>
      <c r="I5" s="17"/>
      <c r="J5" s="17">
        <f>('E Balans VL '!D25+'E Balans VL '!E25)/3.6*1000000*landbouw!B17/100</f>
        <v>64.520926606648175</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445.34500000000003</v>
      </c>
      <c r="C8" s="21">
        <f>C5+C6</f>
        <v>0</v>
      </c>
      <c r="D8" s="21">
        <f>MAX((D5+D6),0)</f>
        <v>20.601680000000002</v>
      </c>
      <c r="E8" s="21">
        <f>MAX((E5+E6),0)</f>
        <v>13.09004979063101</v>
      </c>
      <c r="F8" s="21">
        <f>MAX((F5+F6),0)</f>
        <v>1855.283204819325</v>
      </c>
      <c r="G8" s="21"/>
      <c r="H8" s="21"/>
      <c r="I8" s="21"/>
      <c r="J8" s="21">
        <f>MAX((J5+J6),0)</f>
        <v>64.520926606648175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0.16622106718024762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74.025721163387388</v>
      </c>
      <c r="C12" s="23">
        <f ca="1">C8*C10</f>
        <v>0</v>
      </c>
      <c r="D12" s="23">
        <f>D8*D10</f>
        <v>4.1615393600000008</v>
      </c>
      <c r="E12" s="23">
        <f>E8*E10</f>
        <v>2.9714413024732393</v>
      </c>
      <c r="F12" s="23">
        <f>F8*F10</f>
        <v>495.36061568675979</v>
      </c>
      <c r="G12" s="23"/>
      <c r="H12" s="23"/>
      <c r="I12" s="23"/>
      <c r="J12" s="23">
        <f>J8*J10</f>
        <v>22.840408018753454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6.3195852727326404E-2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53.527837537130274</v>
      </c>
      <c r="C26" s="247">
        <f>B26*'GWP N2O_CH4'!B5</f>
        <v>1124.0845882797357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14.44925677023131</v>
      </c>
      <c r="C27" s="247">
        <f>B27*'GWP N2O_CH4'!B5</f>
        <v>303.43439217485752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0.57625786059177142</v>
      </c>
      <c r="C28" s="247">
        <f>B28*'GWP N2O_CH4'!B4</f>
        <v>178.63993678344914</v>
      </c>
      <c r="D28" s="50"/>
    </row>
    <row r="29" spans="1:4">
      <c r="A29" s="41" t="s">
        <v>277</v>
      </c>
      <c r="B29" s="247">
        <f>B34*'ha_N2O bodem landbouw'!B4</f>
        <v>3.3483064893424572</v>
      </c>
      <c r="C29" s="247">
        <f>B29*'GWP N2O_CH4'!B4</f>
        <v>1037.9750116961618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7.6407200209045994E-4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7.9747755334137922E-5</v>
      </c>
      <c r="C5" s="463" t="s">
        <v>211</v>
      </c>
      <c r="D5" s="448">
        <f>SUM(D6:D11)</f>
        <v>3.2257100105099632E-4</v>
      </c>
      <c r="E5" s="448">
        <f>SUM(E6:E11)</f>
        <v>4.214457081940769E-4</v>
      </c>
      <c r="F5" s="461" t="s">
        <v>211</v>
      </c>
      <c r="G5" s="448">
        <f>SUM(G6:G11)</f>
        <v>0.13448667202269893</v>
      </c>
      <c r="H5" s="448">
        <f>SUM(H6:H11)</f>
        <v>3.6079831996206478E-2</v>
      </c>
      <c r="I5" s="463" t="s">
        <v>211</v>
      </c>
      <c r="J5" s="463" t="s">
        <v>211</v>
      </c>
      <c r="K5" s="463" t="s">
        <v>211</v>
      </c>
      <c r="L5" s="463" t="s">
        <v>211</v>
      </c>
      <c r="M5" s="448">
        <f>SUM(M6:M11)</f>
        <v>8.9282342600694679E-3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4.4020137884235715E-5</v>
      </c>
      <c r="C6" s="449"/>
      <c r="D6" s="962">
        <f>vkm_2011_GW_PW*SUMIFS(TableVerdeelsleutelVkm[CNG],TableVerdeelsleutelVkm[Voertuigtype],"Lichte voertuigen")*SUMIFS(TableECFTransport[EnergieConsumptieFactor (PJ per km)],TableECFTransport[Index],CONCATENATE($A6,"_CNG_CNG"))</f>
        <v>1.3203514839171468E-4</v>
      </c>
      <c r="E6" s="962">
        <f>vkm_2011_GW_PW*SUMIFS(TableVerdeelsleutelVkm[LPG],TableVerdeelsleutelVkm[Voertuigtype],"Lichte voertuigen")*SUMIFS(TableECFTransport[EnergieConsumptieFactor (PJ per km)],TableECFTransport[Index],CONCATENATE($A6,"_LPG_LPG"))</f>
        <v>1.8037897861746565E-4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4.6637735169578975E-2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1.5014852210593784E-2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3.1704263071593935E-3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2.2715825724634781E-2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6.9221111602299517E-6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1.3274374274345145E-3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3.57276174499022E-5</v>
      </c>
      <c r="C8" s="449"/>
      <c r="D8" s="451">
        <f>vkm_2011_NGW_PW*SUMIFS(TableVerdeelsleutelVkm[CNG],TableVerdeelsleutelVkm[Voertuigtype],"Lichte voertuigen")*SUMIFS(TableECFTransport[EnergieConsumptieFactor (PJ per km)],TableECFTransport[Index],CONCATENATE($A8,"_CNG_CNG"))</f>
        <v>1.9053585265928162E-4</v>
      </c>
      <c r="E8" s="451">
        <f>vkm_2011_NGW_PW*SUMIFS(TableVerdeelsleutelVkm[LPG],TableVerdeelsleutelVkm[Voertuigtype],"Lichte voertuigen")*SUMIFS(TableECFTransport[EnergieConsumptieFactor (PJ per km)],TableECFTransport[Index],CONCATENATE($A8,"_LPG_LPG"))</f>
        <v>2.4106672957661124E-4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5.8083851893186003E-2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2.1056035428499847E-2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4.0184389568057059E-3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7.049259235299179E-3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2.0222459526169823E-6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4.1193156866985359E-4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22.152154259482757</v>
      </c>
      <c r="C14" s="21"/>
      <c r="D14" s="21">
        <f t="shared" ref="D14:M14" si="0">((D5)*10^9/3600)+D12</f>
        <v>89.603055847498979</v>
      </c>
      <c r="E14" s="21">
        <f t="shared" si="0"/>
        <v>117.06825227613247</v>
      </c>
      <c r="F14" s="21"/>
      <c r="G14" s="21">
        <f t="shared" si="0"/>
        <v>37357.408895194152</v>
      </c>
      <c r="H14" s="21">
        <f t="shared" si="0"/>
        <v>10022.175554501799</v>
      </c>
      <c r="I14" s="21"/>
      <c r="J14" s="21"/>
      <c r="K14" s="21"/>
      <c r="L14" s="21"/>
      <c r="M14" s="21">
        <f t="shared" si="0"/>
        <v>2480.0650722415185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0.16622106718024762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3.682154721352692</v>
      </c>
      <c r="C18" s="23"/>
      <c r="D18" s="23">
        <f t="shared" ref="D18:M18" si="1">D14*D16</f>
        <v>18.099817281194795</v>
      </c>
      <c r="E18" s="23">
        <f t="shared" si="1"/>
        <v>26.574493266682072</v>
      </c>
      <c r="F18" s="23"/>
      <c r="G18" s="23">
        <f t="shared" si="1"/>
        <v>9974.4281750168393</v>
      </c>
      <c r="H18" s="23">
        <f t="shared" si="1"/>
        <v>2495.521713070948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3.9364315685607391E-3</v>
      </c>
      <c r="H50" s="321">
        <f t="shared" si="2"/>
        <v>0</v>
      </c>
      <c r="I50" s="321">
        <f t="shared" si="2"/>
        <v>0</v>
      </c>
      <c r="J50" s="321">
        <f t="shared" si="2"/>
        <v>0</v>
      </c>
      <c r="K50" s="321">
        <f t="shared" si="2"/>
        <v>0</v>
      </c>
      <c r="L50" s="321">
        <f t="shared" si="2"/>
        <v>0</v>
      </c>
      <c r="M50" s="321">
        <f t="shared" si="2"/>
        <v>2.2357193541640795E-4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3.9364315685607391E-3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2.2357193541640795E-4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1093.4532134890942</v>
      </c>
      <c r="H54" s="21">
        <f t="shared" si="3"/>
        <v>0</v>
      </c>
      <c r="I54" s="21">
        <f t="shared" si="3"/>
        <v>0</v>
      </c>
      <c r="J54" s="21">
        <f t="shared" si="3"/>
        <v>0</v>
      </c>
      <c r="K54" s="21">
        <f t="shared" si="3"/>
        <v>0</v>
      </c>
      <c r="L54" s="21">
        <f t="shared" si="3"/>
        <v>0</v>
      </c>
      <c r="M54" s="21">
        <f t="shared" si="3"/>
        <v>62.10331539344665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0.16622106718024762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291.95200800158818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12879.115484410033</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12879.115484410033</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19298.248999999996</v>
      </c>
      <c r="D10" s="718">
        <f ca="1">tertiair!C16</f>
        <v>0</v>
      </c>
      <c r="E10" s="718">
        <f ca="1">tertiair!D16</f>
        <v>21331.960848000002</v>
      </c>
      <c r="F10" s="718">
        <f>tertiair!E16</f>
        <v>415.91084346993568</v>
      </c>
      <c r="G10" s="718">
        <f ca="1">tertiair!F16</f>
        <v>3386.7298602085393</v>
      </c>
      <c r="H10" s="718">
        <f>tertiair!G16</f>
        <v>0</v>
      </c>
      <c r="I10" s="718">
        <f>tertiair!H16</f>
        <v>0</v>
      </c>
      <c r="J10" s="718">
        <f>tertiair!I16</f>
        <v>0</v>
      </c>
      <c r="K10" s="718">
        <f>tertiair!J16</f>
        <v>3.0023242235468855E-2</v>
      </c>
      <c r="L10" s="718">
        <f>tertiair!K16</f>
        <v>0</v>
      </c>
      <c r="M10" s="718">
        <f ca="1">tertiair!L16</f>
        <v>0</v>
      </c>
      <c r="N10" s="718">
        <f>tertiair!M16</f>
        <v>0</v>
      </c>
      <c r="O10" s="718">
        <f ca="1">tertiair!N16</f>
        <v>1200.8585725462397</v>
      </c>
      <c r="P10" s="718">
        <f>tertiair!O16</f>
        <v>4.6900000000000004</v>
      </c>
      <c r="Q10" s="719">
        <f>tertiair!P16</f>
        <v>0</v>
      </c>
      <c r="R10" s="721">
        <f ca="1">SUM(C10:Q10)</f>
        <v>45638.429147466959</v>
      </c>
      <c r="S10" s="67"/>
    </row>
    <row r="11" spans="1:19" s="474" customFormat="1">
      <c r="A11" s="870" t="s">
        <v>225</v>
      </c>
      <c r="B11" s="875"/>
      <c r="C11" s="718">
        <f>huishoudens!B8</f>
        <v>18048.594898545991</v>
      </c>
      <c r="D11" s="718">
        <f>huishoudens!C8</f>
        <v>0</v>
      </c>
      <c r="E11" s="718">
        <f>huishoudens!D8</f>
        <v>23987.722650099997</v>
      </c>
      <c r="F11" s="718">
        <f>huishoudens!E8</f>
        <v>931.12258090941975</v>
      </c>
      <c r="G11" s="718">
        <f>huishoudens!F8</f>
        <v>36152.992294846008</v>
      </c>
      <c r="H11" s="718">
        <f>huishoudens!G8</f>
        <v>0</v>
      </c>
      <c r="I11" s="718">
        <f>huishoudens!H8</f>
        <v>0</v>
      </c>
      <c r="J11" s="718">
        <f>huishoudens!I8</f>
        <v>0</v>
      </c>
      <c r="K11" s="718">
        <f>huishoudens!J8</f>
        <v>0</v>
      </c>
      <c r="L11" s="718">
        <f>huishoudens!K8</f>
        <v>0</v>
      </c>
      <c r="M11" s="718">
        <f>huishoudens!L8</f>
        <v>0</v>
      </c>
      <c r="N11" s="718">
        <f>huishoudens!M8</f>
        <v>0</v>
      </c>
      <c r="O11" s="718">
        <f>huishoudens!N8</f>
        <v>12115.912613293387</v>
      </c>
      <c r="P11" s="718">
        <f>huishoudens!O8</f>
        <v>270.45666666666671</v>
      </c>
      <c r="Q11" s="719">
        <f>huishoudens!P8</f>
        <v>552.93333333333339</v>
      </c>
      <c r="R11" s="721">
        <f>SUM(C11:Q11)</f>
        <v>92059.735037694802</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14145.1327</v>
      </c>
      <c r="D13" s="718">
        <f>industrie!C18</f>
        <v>0</v>
      </c>
      <c r="E13" s="718">
        <f>industrie!D18</f>
        <v>8880.3961972000016</v>
      </c>
      <c r="F13" s="718">
        <f>industrie!E18</f>
        <v>1577.8582581668768</v>
      </c>
      <c r="G13" s="718">
        <f>industrie!F18</f>
        <v>6159.0353043165633</v>
      </c>
      <c r="H13" s="718">
        <f>industrie!G18</f>
        <v>0</v>
      </c>
      <c r="I13" s="718">
        <f>industrie!H18</f>
        <v>0</v>
      </c>
      <c r="J13" s="718">
        <f>industrie!I18</f>
        <v>0</v>
      </c>
      <c r="K13" s="718">
        <f>industrie!J18</f>
        <v>10.117982418051827</v>
      </c>
      <c r="L13" s="718">
        <f>industrie!K18</f>
        <v>0</v>
      </c>
      <c r="M13" s="718">
        <f>industrie!L18</f>
        <v>0</v>
      </c>
      <c r="N13" s="718">
        <f>industrie!M18</f>
        <v>0</v>
      </c>
      <c r="O13" s="718">
        <f>industrie!N18</f>
        <v>4504.6352793148289</v>
      </c>
      <c r="P13" s="718">
        <f>industrie!O18</f>
        <v>0</v>
      </c>
      <c r="Q13" s="719">
        <f>industrie!P18</f>
        <v>0</v>
      </c>
      <c r="R13" s="721">
        <f>SUM(C13:Q13)</f>
        <v>35277.175721416323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51491.976598545989</v>
      </c>
      <c r="D15" s="723">
        <f t="shared" ref="D15:Q15" ca="1" si="0">SUM(D9:D14)</f>
        <v>0</v>
      </c>
      <c r="E15" s="723">
        <f t="shared" ca="1" si="0"/>
        <v>54200.079695300003</v>
      </c>
      <c r="F15" s="723">
        <f t="shared" si="0"/>
        <v>2924.891682546232</v>
      </c>
      <c r="G15" s="723">
        <f t="shared" ca="1" si="0"/>
        <v>45698.757459371118</v>
      </c>
      <c r="H15" s="723">
        <f t="shared" si="0"/>
        <v>0</v>
      </c>
      <c r="I15" s="723">
        <f t="shared" si="0"/>
        <v>0</v>
      </c>
      <c r="J15" s="723">
        <f t="shared" si="0"/>
        <v>0</v>
      </c>
      <c r="K15" s="723">
        <f t="shared" si="0"/>
        <v>10.148005660287296</v>
      </c>
      <c r="L15" s="723">
        <f t="shared" si="0"/>
        <v>0</v>
      </c>
      <c r="M15" s="723">
        <f t="shared" ca="1" si="0"/>
        <v>0</v>
      </c>
      <c r="N15" s="723">
        <f t="shared" si="0"/>
        <v>0</v>
      </c>
      <c r="O15" s="723">
        <f t="shared" ca="1" si="0"/>
        <v>17821.406465154454</v>
      </c>
      <c r="P15" s="723">
        <f t="shared" si="0"/>
        <v>275.1466666666667</v>
      </c>
      <c r="Q15" s="724">
        <f t="shared" si="0"/>
        <v>552.93333333333339</v>
      </c>
      <c r="R15" s="725">
        <f ca="1">SUM(R9:R14)</f>
        <v>172975.33990657807</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1093.4532134890942</v>
      </c>
      <c r="I18" s="718">
        <f>transport!H54</f>
        <v>0</v>
      </c>
      <c r="J18" s="718">
        <f>transport!I54</f>
        <v>0</v>
      </c>
      <c r="K18" s="718">
        <f>transport!J54</f>
        <v>0</v>
      </c>
      <c r="L18" s="718">
        <f>transport!K54</f>
        <v>0</v>
      </c>
      <c r="M18" s="718">
        <f>transport!L54</f>
        <v>0</v>
      </c>
      <c r="N18" s="718">
        <f>transport!M54</f>
        <v>62.10331539344665</v>
      </c>
      <c r="O18" s="718">
        <f>transport!N54</f>
        <v>0</v>
      </c>
      <c r="P18" s="718">
        <f>transport!O54</f>
        <v>0</v>
      </c>
      <c r="Q18" s="719">
        <f>transport!P54</f>
        <v>0</v>
      </c>
      <c r="R18" s="721">
        <f>SUM(C18:Q18)</f>
        <v>1155.5565288825408</v>
      </c>
      <c r="S18" s="67"/>
    </row>
    <row r="19" spans="1:19" s="474" customFormat="1" ht="15" thickBot="1">
      <c r="A19" s="870" t="s">
        <v>307</v>
      </c>
      <c r="B19" s="875"/>
      <c r="C19" s="727">
        <f>transport!B14</f>
        <v>22.152154259482757</v>
      </c>
      <c r="D19" s="727">
        <f>transport!C14</f>
        <v>0</v>
      </c>
      <c r="E19" s="727">
        <f>transport!D14</f>
        <v>89.603055847498979</v>
      </c>
      <c r="F19" s="727">
        <f>transport!E14</f>
        <v>117.06825227613247</v>
      </c>
      <c r="G19" s="727">
        <f>transport!F14</f>
        <v>0</v>
      </c>
      <c r="H19" s="727">
        <f>transport!G14</f>
        <v>37357.408895194152</v>
      </c>
      <c r="I19" s="727">
        <f>transport!H14</f>
        <v>10022.175554501799</v>
      </c>
      <c r="J19" s="727">
        <f>transport!I14</f>
        <v>0</v>
      </c>
      <c r="K19" s="727">
        <f>transport!J14</f>
        <v>0</v>
      </c>
      <c r="L19" s="727">
        <f>transport!K14</f>
        <v>0</v>
      </c>
      <c r="M19" s="727">
        <f>transport!L14</f>
        <v>0</v>
      </c>
      <c r="N19" s="727">
        <f>transport!M14</f>
        <v>2480.0650722415185</v>
      </c>
      <c r="O19" s="727">
        <f>transport!N14</f>
        <v>0</v>
      </c>
      <c r="P19" s="727">
        <f>transport!O14</f>
        <v>0</v>
      </c>
      <c r="Q19" s="728">
        <f>transport!P14</f>
        <v>0</v>
      </c>
      <c r="R19" s="729">
        <f>SUM(C19:Q19)</f>
        <v>50088.472984320586</v>
      </c>
      <c r="S19" s="67"/>
    </row>
    <row r="20" spans="1:19" s="474" customFormat="1" ht="15.75" thickBot="1">
      <c r="A20" s="730" t="s">
        <v>230</v>
      </c>
      <c r="B20" s="878"/>
      <c r="C20" s="873">
        <f>SUM(C17:C19)</f>
        <v>22.152154259482757</v>
      </c>
      <c r="D20" s="731">
        <f t="shared" ref="D20:R20" si="1">SUM(D17:D19)</f>
        <v>0</v>
      </c>
      <c r="E20" s="731">
        <f t="shared" si="1"/>
        <v>89.603055847498979</v>
      </c>
      <c r="F20" s="731">
        <f t="shared" si="1"/>
        <v>117.06825227613247</v>
      </c>
      <c r="G20" s="731">
        <f t="shared" si="1"/>
        <v>0</v>
      </c>
      <c r="H20" s="731">
        <f t="shared" si="1"/>
        <v>38450.862108683243</v>
      </c>
      <c r="I20" s="731">
        <f t="shared" si="1"/>
        <v>10022.175554501799</v>
      </c>
      <c r="J20" s="731">
        <f t="shared" si="1"/>
        <v>0</v>
      </c>
      <c r="K20" s="731">
        <f t="shared" si="1"/>
        <v>0</v>
      </c>
      <c r="L20" s="731">
        <f t="shared" si="1"/>
        <v>0</v>
      </c>
      <c r="M20" s="731">
        <f t="shared" si="1"/>
        <v>0</v>
      </c>
      <c r="N20" s="731">
        <f t="shared" si="1"/>
        <v>2542.1683876349653</v>
      </c>
      <c r="O20" s="731">
        <f t="shared" si="1"/>
        <v>0</v>
      </c>
      <c r="P20" s="731">
        <f t="shared" si="1"/>
        <v>0</v>
      </c>
      <c r="Q20" s="732">
        <f t="shared" si="1"/>
        <v>0</v>
      </c>
      <c r="R20" s="733">
        <f t="shared" si="1"/>
        <v>51244.029513203124</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445.34500000000003</v>
      </c>
      <c r="D22" s="727">
        <f>+landbouw!C8</f>
        <v>0</v>
      </c>
      <c r="E22" s="727">
        <f>+landbouw!D8</f>
        <v>20.601680000000002</v>
      </c>
      <c r="F22" s="727">
        <f>+landbouw!E8</f>
        <v>13.09004979063101</v>
      </c>
      <c r="G22" s="727">
        <f>+landbouw!F8</f>
        <v>1855.283204819325</v>
      </c>
      <c r="H22" s="727">
        <f>+landbouw!G8</f>
        <v>0</v>
      </c>
      <c r="I22" s="727">
        <f>+landbouw!H8</f>
        <v>0</v>
      </c>
      <c r="J22" s="727">
        <f>+landbouw!I8</f>
        <v>0</v>
      </c>
      <c r="K22" s="727">
        <f>+landbouw!J8</f>
        <v>64.520926606648175</v>
      </c>
      <c r="L22" s="727">
        <f>+landbouw!K8</f>
        <v>0</v>
      </c>
      <c r="M22" s="727">
        <f>+landbouw!L8</f>
        <v>0</v>
      </c>
      <c r="N22" s="727">
        <f>+landbouw!M8</f>
        <v>0</v>
      </c>
      <c r="O22" s="727">
        <f>+landbouw!N8</f>
        <v>0</v>
      </c>
      <c r="P22" s="727">
        <f>+landbouw!O8</f>
        <v>0</v>
      </c>
      <c r="Q22" s="728">
        <f>+landbouw!P8</f>
        <v>0</v>
      </c>
      <c r="R22" s="729">
        <f>SUM(C22:Q22)</f>
        <v>2398.840861216604</v>
      </c>
      <c r="S22" s="67"/>
    </row>
    <row r="23" spans="1:19" s="474" customFormat="1" ht="17.25" thickTop="1" thickBot="1">
      <c r="A23" s="734" t="s">
        <v>116</v>
      </c>
      <c r="B23" s="864"/>
      <c r="C23" s="735">
        <f ca="1">C20+C15+C22</f>
        <v>51959.473752805476</v>
      </c>
      <c r="D23" s="735">
        <f t="shared" ref="D23:Q23" ca="1" si="2">D20+D15+D22</f>
        <v>0</v>
      </c>
      <c r="E23" s="735">
        <f t="shared" ca="1" si="2"/>
        <v>54310.284431147498</v>
      </c>
      <c r="F23" s="735">
        <f t="shared" si="2"/>
        <v>3055.0499846129956</v>
      </c>
      <c r="G23" s="735">
        <f t="shared" ca="1" si="2"/>
        <v>47554.040664190441</v>
      </c>
      <c r="H23" s="735">
        <f t="shared" si="2"/>
        <v>38450.862108683243</v>
      </c>
      <c r="I23" s="735">
        <f t="shared" si="2"/>
        <v>10022.175554501799</v>
      </c>
      <c r="J23" s="735">
        <f t="shared" si="2"/>
        <v>0</v>
      </c>
      <c r="K23" s="735">
        <f t="shared" si="2"/>
        <v>74.668932266935471</v>
      </c>
      <c r="L23" s="735">
        <f t="shared" si="2"/>
        <v>0</v>
      </c>
      <c r="M23" s="735">
        <f t="shared" ca="1" si="2"/>
        <v>0</v>
      </c>
      <c r="N23" s="735">
        <f t="shared" si="2"/>
        <v>2542.1683876349653</v>
      </c>
      <c r="O23" s="735">
        <f t="shared" ca="1" si="2"/>
        <v>17821.406465154454</v>
      </c>
      <c r="P23" s="735">
        <f t="shared" si="2"/>
        <v>275.1466666666667</v>
      </c>
      <c r="Q23" s="736">
        <f t="shared" si="2"/>
        <v>552.93333333333339</v>
      </c>
      <c r="R23" s="737">
        <f ca="1">R20+R15+R22</f>
        <v>226618.2102809978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3207.775543490146</v>
      </c>
      <c r="D36" s="718">
        <f ca="1">tertiair!C20</f>
        <v>0</v>
      </c>
      <c r="E36" s="718">
        <f ca="1">tertiair!D20</f>
        <v>4309.0560912960009</v>
      </c>
      <c r="F36" s="718">
        <f>tertiair!E20</f>
        <v>94.411761467675404</v>
      </c>
      <c r="G36" s="718">
        <f ca="1">tertiair!F20</f>
        <v>904.25687267568003</v>
      </c>
      <c r="H36" s="718">
        <f>tertiair!G20</f>
        <v>0</v>
      </c>
      <c r="I36" s="718">
        <f>tertiair!H20</f>
        <v>0</v>
      </c>
      <c r="J36" s="718">
        <f>tertiair!I20</f>
        <v>0</v>
      </c>
      <c r="K36" s="718">
        <f>tertiair!J20</f>
        <v>1.0628227751355974E-2</v>
      </c>
      <c r="L36" s="718">
        <f>tertiair!K20</f>
        <v>0</v>
      </c>
      <c r="M36" s="718">
        <f ca="1">tertiair!L20</f>
        <v>0</v>
      </c>
      <c r="N36" s="718">
        <f>tertiair!M20</f>
        <v>0</v>
      </c>
      <c r="O36" s="718">
        <f ca="1">tertiair!N20</f>
        <v>0</v>
      </c>
      <c r="P36" s="718">
        <f>tertiair!O20</f>
        <v>0</v>
      </c>
      <c r="Q36" s="828">
        <f>tertiair!P20</f>
        <v>0</v>
      </c>
      <c r="R36" s="917">
        <f ca="1">SUM(C36:Q36)</f>
        <v>8515.5108971572554</v>
      </c>
    </row>
    <row r="37" spans="1:18">
      <c r="A37" s="885" t="s">
        <v>225</v>
      </c>
      <c r="B37" s="892"/>
      <c r="C37" s="718">
        <f ca="1">huishoudens!B12</f>
        <v>3000.0567051402877</v>
      </c>
      <c r="D37" s="718">
        <f ca="1">huishoudens!C12</f>
        <v>0</v>
      </c>
      <c r="E37" s="718">
        <f>huishoudens!D12</f>
        <v>4845.5199753201996</v>
      </c>
      <c r="F37" s="718">
        <f>huishoudens!E12</f>
        <v>211.36482586643828</v>
      </c>
      <c r="G37" s="718">
        <f>huishoudens!F12</f>
        <v>9652.8489427238856</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17709.790449050812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2351.2190528002175</v>
      </c>
      <c r="D39" s="718">
        <f ca="1">industrie!C22</f>
        <v>0</v>
      </c>
      <c r="E39" s="718">
        <f>industrie!D22</f>
        <v>1793.8400318344004</v>
      </c>
      <c r="F39" s="718">
        <f>industrie!E22</f>
        <v>358.17382460388103</v>
      </c>
      <c r="G39" s="718">
        <f>industrie!F22</f>
        <v>1644.4624262525224</v>
      </c>
      <c r="H39" s="718">
        <f>industrie!G22</f>
        <v>0</v>
      </c>
      <c r="I39" s="718">
        <f>industrie!H22</f>
        <v>0</v>
      </c>
      <c r="J39" s="718">
        <f>industrie!I22</f>
        <v>0</v>
      </c>
      <c r="K39" s="718">
        <f>industrie!J22</f>
        <v>3.5817657759903465</v>
      </c>
      <c r="L39" s="718">
        <f>industrie!K22</f>
        <v>0</v>
      </c>
      <c r="M39" s="718">
        <f>industrie!L22</f>
        <v>0</v>
      </c>
      <c r="N39" s="718">
        <f>industrie!M22</f>
        <v>0</v>
      </c>
      <c r="O39" s="718">
        <f>industrie!N22</f>
        <v>0</v>
      </c>
      <c r="P39" s="718">
        <f>industrie!O22</f>
        <v>0</v>
      </c>
      <c r="Q39" s="828">
        <f>industrie!P22</f>
        <v>0</v>
      </c>
      <c r="R39" s="918">
        <f ca="1">SUM(C39:Q39)</f>
        <v>6151.2771012670119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8559.0513014306507</v>
      </c>
      <c r="D41" s="763">
        <f t="shared" ref="D41:R41" ca="1" si="4">SUM(D35:D40)</f>
        <v>0</v>
      </c>
      <c r="E41" s="763">
        <f t="shared" ca="1" si="4"/>
        <v>10948.416098450602</v>
      </c>
      <c r="F41" s="763">
        <f t="shared" si="4"/>
        <v>663.95041193799466</v>
      </c>
      <c r="G41" s="763">
        <f t="shared" ca="1" si="4"/>
        <v>12201.568241652089</v>
      </c>
      <c r="H41" s="763">
        <f t="shared" si="4"/>
        <v>0</v>
      </c>
      <c r="I41" s="763">
        <f t="shared" si="4"/>
        <v>0</v>
      </c>
      <c r="J41" s="763">
        <f t="shared" si="4"/>
        <v>0</v>
      </c>
      <c r="K41" s="763">
        <f t="shared" si="4"/>
        <v>3.5923940037417026</v>
      </c>
      <c r="L41" s="763">
        <f t="shared" si="4"/>
        <v>0</v>
      </c>
      <c r="M41" s="763">
        <f t="shared" ca="1" si="4"/>
        <v>0</v>
      </c>
      <c r="N41" s="763">
        <f t="shared" si="4"/>
        <v>0</v>
      </c>
      <c r="O41" s="763">
        <f t="shared" ca="1" si="4"/>
        <v>0</v>
      </c>
      <c r="P41" s="763">
        <f t="shared" si="4"/>
        <v>0</v>
      </c>
      <c r="Q41" s="764">
        <f t="shared" si="4"/>
        <v>0</v>
      </c>
      <c r="R41" s="765">
        <f t="shared" ca="1" si="4"/>
        <v>32376.57844747508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291.95200800158818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291.95200800158818</v>
      </c>
    </row>
    <row r="45" spans="1:18" ht="15" thickBot="1">
      <c r="A45" s="888" t="s">
        <v>307</v>
      </c>
      <c r="B45" s="898"/>
      <c r="C45" s="727">
        <f ca="1">transport!B18</f>
        <v>3.682154721352692</v>
      </c>
      <c r="D45" s="727">
        <f>transport!C18</f>
        <v>0</v>
      </c>
      <c r="E45" s="727">
        <f>transport!D18</f>
        <v>18.099817281194795</v>
      </c>
      <c r="F45" s="727">
        <f>transport!E18</f>
        <v>26.574493266682072</v>
      </c>
      <c r="G45" s="727">
        <f>transport!F18</f>
        <v>0</v>
      </c>
      <c r="H45" s="727">
        <f>transport!G18</f>
        <v>9974.4281750168393</v>
      </c>
      <c r="I45" s="727">
        <f>transport!H18</f>
        <v>2495.521713070948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12518.306353357017</v>
      </c>
    </row>
    <row r="46" spans="1:18" ht="15.75" thickBot="1">
      <c r="A46" s="886" t="s">
        <v>230</v>
      </c>
      <c r="B46" s="899"/>
      <c r="C46" s="763">
        <f t="shared" ref="C46:R46" ca="1" si="5">SUM(C43:C45)</f>
        <v>3.682154721352692</v>
      </c>
      <c r="D46" s="763">
        <f t="shared" ca="1" si="5"/>
        <v>0</v>
      </c>
      <c r="E46" s="763">
        <f t="shared" si="5"/>
        <v>18.099817281194795</v>
      </c>
      <c r="F46" s="763">
        <f t="shared" si="5"/>
        <v>26.574493266682072</v>
      </c>
      <c r="G46" s="763">
        <f t="shared" si="5"/>
        <v>0</v>
      </c>
      <c r="H46" s="763">
        <f t="shared" si="5"/>
        <v>10266.380183018427</v>
      </c>
      <c r="I46" s="763">
        <f t="shared" si="5"/>
        <v>2495.521713070948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12810.258361358605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74.025721163387388</v>
      </c>
      <c r="D48" s="718">
        <f ca="1">+landbouw!C12</f>
        <v>0</v>
      </c>
      <c r="E48" s="718">
        <f>+landbouw!D12</f>
        <v>4.1615393600000008</v>
      </c>
      <c r="F48" s="718">
        <f>+landbouw!E12</f>
        <v>2.9714413024732393</v>
      </c>
      <c r="G48" s="718">
        <f>+landbouw!F12</f>
        <v>495.36061568675979</v>
      </c>
      <c r="H48" s="718">
        <f>+landbouw!G12</f>
        <v>0</v>
      </c>
      <c r="I48" s="718">
        <f>+landbouw!H12</f>
        <v>0</v>
      </c>
      <c r="J48" s="718">
        <f>+landbouw!I12</f>
        <v>0</v>
      </c>
      <c r="K48" s="718">
        <f>+landbouw!J12</f>
        <v>22.840408018753454</v>
      </c>
      <c r="L48" s="718">
        <f>+landbouw!K12</f>
        <v>0</v>
      </c>
      <c r="M48" s="718">
        <f>+landbouw!L12</f>
        <v>0</v>
      </c>
      <c r="N48" s="718">
        <f>+landbouw!M12</f>
        <v>0</v>
      </c>
      <c r="O48" s="718">
        <f>+landbouw!N12</f>
        <v>0</v>
      </c>
      <c r="P48" s="718">
        <f>+landbouw!O12</f>
        <v>0</v>
      </c>
      <c r="Q48" s="719">
        <f>+landbouw!P12</f>
        <v>0</v>
      </c>
      <c r="R48" s="761">
        <f ca="1">SUM(C48:Q48)</f>
        <v>599.3597255313739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8636.7591773153908</v>
      </c>
      <c r="D53" s="773">
        <f t="shared" ref="D53:Q53" ca="1" si="6">D41+D46+D48</f>
        <v>0</v>
      </c>
      <c r="E53" s="773">
        <f t="shared" ca="1" si="6"/>
        <v>10970.677455091796</v>
      </c>
      <c r="F53" s="773">
        <f t="shared" si="6"/>
        <v>693.49634650715007</v>
      </c>
      <c r="G53" s="773">
        <f t="shared" ca="1" si="6"/>
        <v>12696.928857338848</v>
      </c>
      <c r="H53" s="773">
        <f t="shared" si="6"/>
        <v>10266.380183018427</v>
      </c>
      <c r="I53" s="773">
        <f t="shared" si="6"/>
        <v>2495.521713070948</v>
      </c>
      <c r="J53" s="773">
        <f t="shared" si="6"/>
        <v>0</v>
      </c>
      <c r="K53" s="773">
        <f t="shared" si="6"/>
        <v>26.432802022495157</v>
      </c>
      <c r="L53" s="773">
        <f t="shared" si="6"/>
        <v>0</v>
      </c>
      <c r="M53" s="773">
        <f t="shared" ca="1" si="6"/>
        <v>0</v>
      </c>
      <c r="N53" s="773">
        <f t="shared" si="6"/>
        <v>0</v>
      </c>
      <c r="O53" s="773">
        <f t="shared" ca="1" si="6"/>
        <v>0</v>
      </c>
      <c r="P53" s="773">
        <f>P41+P46+P48</f>
        <v>0</v>
      </c>
      <c r="Q53" s="774">
        <f t="shared" si="6"/>
        <v>0</v>
      </c>
      <c r="R53" s="775">
        <f ca="1">R41+R46+R48</f>
        <v>45786.196534365059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0.16622106718024759</v>
      </c>
      <c r="D55" s="836">
        <f t="shared" ca="1" si="7"/>
        <v>0</v>
      </c>
      <c r="E55" s="836">
        <f t="shared" ca="1" si="7"/>
        <v>0.20200000000000004</v>
      </c>
      <c r="F55" s="836">
        <f t="shared" si="7"/>
        <v>0.22700000000000004</v>
      </c>
      <c r="G55" s="836">
        <f t="shared" ca="1" si="7"/>
        <v>0.26700000000000002</v>
      </c>
      <c r="H55" s="836">
        <f t="shared" si="7"/>
        <v>0.26700000000000007</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12879.115484410033</v>
      </c>
      <c r="C66" s="795">
        <f>'lokale energieproductie'!B6</f>
        <v>12879.115484410033</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12879.115484410033</v>
      </c>
      <c r="C69" s="803">
        <f>SUM(C64:C68)</f>
        <v>12879.115484410033</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18048.594898545991</v>
      </c>
      <c r="C4" s="478">
        <f>huishoudens!C8</f>
        <v>0</v>
      </c>
      <c r="D4" s="478">
        <f>huishoudens!D8</f>
        <v>23987.722650099997</v>
      </c>
      <c r="E4" s="478">
        <f>huishoudens!E8</f>
        <v>931.12258090941975</v>
      </c>
      <c r="F4" s="478">
        <f>huishoudens!F8</f>
        <v>36152.992294846008</v>
      </c>
      <c r="G4" s="478">
        <f>huishoudens!G8</f>
        <v>0</v>
      </c>
      <c r="H4" s="478">
        <f>huishoudens!H8</f>
        <v>0</v>
      </c>
      <c r="I4" s="478">
        <f>huishoudens!I8</f>
        <v>0</v>
      </c>
      <c r="J4" s="478">
        <f>huishoudens!J8</f>
        <v>0</v>
      </c>
      <c r="K4" s="478">
        <f>huishoudens!K8</f>
        <v>0</v>
      </c>
      <c r="L4" s="478">
        <f>huishoudens!L8</f>
        <v>0</v>
      </c>
      <c r="M4" s="478">
        <f>huishoudens!M8</f>
        <v>0</v>
      </c>
      <c r="N4" s="478">
        <f>huishoudens!N8</f>
        <v>12115.912613293387</v>
      </c>
      <c r="O4" s="478">
        <f>huishoudens!O8</f>
        <v>270.45666666666671</v>
      </c>
      <c r="P4" s="479">
        <f>huishoudens!P8</f>
        <v>552.93333333333339</v>
      </c>
      <c r="Q4" s="480">
        <f>SUM(B4:P4)</f>
        <v>92059.735037694802</v>
      </c>
    </row>
    <row r="5" spans="1:17">
      <c r="A5" s="477" t="s">
        <v>156</v>
      </c>
      <c r="B5" s="478">
        <f ca="1">tertiair!B16</f>
        <v>18574.250999999997</v>
      </c>
      <c r="C5" s="478">
        <f ca="1">tertiair!C16</f>
        <v>0</v>
      </c>
      <c r="D5" s="478">
        <f ca="1">tertiair!D16</f>
        <v>21331.960848000002</v>
      </c>
      <c r="E5" s="478">
        <f>tertiair!E16</f>
        <v>415.91084346993568</v>
      </c>
      <c r="F5" s="478">
        <f ca="1">tertiair!F16</f>
        <v>3386.7298602085393</v>
      </c>
      <c r="G5" s="478">
        <f>tertiair!G16</f>
        <v>0</v>
      </c>
      <c r="H5" s="478">
        <f>tertiair!H16</f>
        <v>0</v>
      </c>
      <c r="I5" s="478">
        <f>tertiair!I16</f>
        <v>0</v>
      </c>
      <c r="J5" s="478">
        <f>tertiair!J16</f>
        <v>3.0023242235468855E-2</v>
      </c>
      <c r="K5" s="478">
        <f>tertiair!K16</f>
        <v>0</v>
      </c>
      <c r="L5" s="478">
        <f ca="1">tertiair!L16</f>
        <v>0</v>
      </c>
      <c r="M5" s="478">
        <f>tertiair!M16</f>
        <v>0</v>
      </c>
      <c r="N5" s="478">
        <f ca="1">tertiair!N16</f>
        <v>1200.8585725462397</v>
      </c>
      <c r="O5" s="478">
        <f>tertiair!O16</f>
        <v>4.6900000000000004</v>
      </c>
      <c r="P5" s="479">
        <f>tertiair!P16</f>
        <v>0</v>
      </c>
      <c r="Q5" s="477">
        <f t="shared" ref="Q5:Q13" ca="1" si="0">SUM(B5:P5)</f>
        <v>44914.431147466952</v>
      </c>
    </row>
    <row r="6" spans="1:17">
      <c r="A6" s="477" t="s">
        <v>194</v>
      </c>
      <c r="B6" s="478">
        <f>'openbare verlichting'!B8</f>
        <v>723.99800000000005</v>
      </c>
      <c r="C6" s="478"/>
      <c r="D6" s="478"/>
      <c r="E6" s="478"/>
      <c r="F6" s="478"/>
      <c r="G6" s="478"/>
      <c r="H6" s="478"/>
      <c r="I6" s="478"/>
      <c r="J6" s="478"/>
      <c r="K6" s="478"/>
      <c r="L6" s="478"/>
      <c r="M6" s="478"/>
      <c r="N6" s="478"/>
      <c r="O6" s="478"/>
      <c r="P6" s="479"/>
      <c r="Q6" s="477">
        <f t="shared" si="0"/>
        <v>723.99800000000005</v>
      </c>
    </row>
    <row r="7" spans="1:17">
      <c r="A7" s="477" t="s">
        <v>112</v>
      </c>
      <c r="B7" s="478">
        <f>landbouw!B8</f>
        <v>445.34500000000003</v>
      </c>
      <c r="C7" s="478">
        <f>landbouw!C8</f>
        <v>0</v>
      </c>
      <c r="D7" s="478">
        <f>landbouw!D8</f>
        <v>20.601680000000002</v>
      </c>
      <c r="E7" s="478">
        <f>landbouw!E8</f>
        <v>13.09004979063101</v>
      </c>
      <c r="F7" s="478">
        <f>landbouw!F8</f>
        <v>1855.283204819325</v>
      </c>
      <c r="G7" s="478">
        <f>landbouw!G8</f>
        <v>0</v>
      </c>
      <c r="H7" s="478">
        <f>landbouw!H8</f>
        <v>0</v>
      </c>
      <c r="I7" s="478">
        <f>landbouw!I8</f>
        <v>0</v>
      </c>
      <c r="J7" s="478">
        <f>landbouw!J8</f>
        <v>64.520926606648175</v>
      </c>
      <c r="K7" s="478">
        <f>landbouw!K8</f>
        <v>0</v>
      </c>
      <c r="L7" s="478">
        <f>landbouw!L8</f>
        <v>0</v>
      </c>
      <c r="M7" s="478">
        <f>landbouw!M8</f>
        <v>0</v>
      </c>
      <c r="N7" s="478">
        <f>landbouw!N8</f>
        <v>0</v>
      </c>
      <c r="O7" s="478">
        <f>landbouw!O8</f>
        <v>0</v>
      </c>
      <c r="P7" s="479">
        <f>landbouw!P8</f>
        <v>0</v>
      </c>
      <c r="Q7" s="477">
        <f t="shared" si="0"/>
        <v>2398.840861216604</v>
      </c>
    </row>
    <row r="8" spans="1:17">
      <c r="A8" s="477" t="s">
        <v>635</v>
      </c>
      <c r="B8" s="478">
        <f>industrie!B18</f>
        <v>14145.1327</v>
      </c>
      <c r="C8" s="478">
        <f>industrie!C18</f>
        <v>0</v>
      </c>
      <c r="D8" s="478">
        <f>industrie!D18</f>
        <v>8880.3961972000016</v>
      </c>
      <c r="E8" s="478">
        <f>industrie!E18</f>
        <v>1577.8582581668768</v>
      </c>
      <c r="F8" s="478">
        <f>industrie!F18</f>
        <v>6159.0353043165633</v>
      </c>
      <c r="G8" s="478">
        <f>industrie!G18</f>
        <v>0</v>
      </c>
      <c r="H8" s="478">
        <f>industrie!H18</f>
        <v>0</v>
      </c>
      <c r="I8" s="478">
        <f>industrie!I18</f>
        <v>0</v>
      </c>
      <c r="J8" s="478">
        <f>industrie!J18</f>
        <v>10.117982418051827</v>
      </c>
      <c r="K8" s="478">
        <f>industrie!K18</f>
        <v>0</v>
      </c>
      <c r="L8" s="478">
        <f>industrie!L18</f>
        <v>0</v>
      </c>
      <c r="M8" s="478">
        <f>industrie!M18</f>
        <v>0</v>
      </c>
      <c r="N8" s="478">
        <f>industrie!N18</f>
        <v>4504.6352793148289</v>
      </c>
      <c r="O8" s="478">
        <f>industrie!O18</f>
        <v>0</v>
      </c>
      <c r="P8" s="479">
        <f>industrie!P18</f>
        <v>0</v>
      </c>
      <c r="Q8" s="477">
        <f t="shared" si="0"/>
        <v>35277.175721416323</v>
      </c>
    </row>
    <row r="9" spans="1:17" s="483" customFormat="1">
      <c r="A9" s="481" t="s">
        <v>561</v>
      </c>
      <c r="B9" s="482">
        <f>transport!B14</f>
        <v>22.152154259482757</v>
      </c>
      <c r="C9" s="482">
        <f>transport!C14</f>
        <v>0</v>
      </c>
      <c r="D9" s="482">
        <f>transport!D14</f>
        <v>89.603055847498979</v>
      </c>
      <c r="E9" s="482">
        <f>transport!E14</f>
        <v>117.06825227613247</v>
      </c>
      <c r="F9" s="482">
        <f>transport!F14</f>
        <v>0</v>
      </c>
      <c r="G9" s="482">
        <f>transport!G14</f>
        <v>37357.408895194152</v>
      </c>
      <c r="H9" s="482">
        <f>transport!H14</f>
        <v>10022.175554501799</v>
      </c>
      <c r="I9" s="482">
        <f>transport!I14</f>
        <v>0</v>
      </c>
      <c r="J9" s="482">
        <f>transport!J14</f>
        <v>0</v>
      </c>
      <c r="K9" s="482">
        <f>transport!K14</f>
        <v>0</v>
      </c>
      <c r="L9" s="482">
        <f>transport!L14</f>
        <v>0</v>
      </c>
      <c r="M9" s="482">
        <f>transport!M14</f>
        <v>2480.0650722415185</v>
      </c>
      <c r="N9" s="482">
        <f>transport!N14</f>
        <v>0</v>
      </c>
      <c r="O9" s="482">
        <f>transport!O14</f>
        <v>0</v>
      </c>
      <c r="P9" s="482">
        <f>transport!P14</f>
        <v>0</v>
      </c>
      <c r="Q9" s="481">
        <f>SUM(B9:P9)</f>
        <v>50088.472984320586</v>
      </c>
    </row>
    <row r="10" spans="1:17">
      <c r="A10" s="477" t="s">
        <v>551</v>
      </c>
      <c r="B10" s="478">
        <f>transport!B54</f>
        <v>0</v>
      </c>
      <c r="C10" s="478">
        <f>transport!C54</f>
        <v>0</v>
      </c>
      <c r="D10" s="478">
        <f>transport!D54</f>
        <v>0</v>
      </c>
      <c r="E10" s="478">
        <f>transport!E54</f>
        <v>0</v>
      </c>
      <c r="F10" s="478">
        <f>transport!F54</f>
        <v>0</v>
      </c>
      <c r="G10" s="478">
        <f>transport!G54</f>
        <v>1093.4532134890942</v>
      </c>
      <c r="H10" s="478">
        <f>transport!H54</f>
        <v>0</v>
      </c>
      <c r="I10" s="478">
        <f>transport!I54</f>
        <v>0</v>
      </c>
      <c r="J10" s="478">
        <f>transport!J54</f>
        <v>0</v>
      </c>
      <c r="K10" s="478">
        <f>transport!K54</f>
        <v>0</v>
      </c>
      <c r="L10" s="478">
        <f>transport!L54</f>
        <v>0</v>
      </c>
      <c r="M10" s="478">
        <f>transport!M54</f>
        <v>62.10331539344665</v>
      </c>
      <c r="N10" s="478">
        <f>transport!N54</f>
        <v>0</v>
      </c>
      <c r="O10" s="478">
        <f>transport!O54</f>
        <v>0</v>
      </c>
      <c r="P10" s="479">
        <f>transport!P54</f>
        <v>0</v>
      </c>
      <c r="Q10" s="477">
        <f t="shared" si="0"/>
        <v>1155.5565288825408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51959.473752805476</v>
      </c>
      <c r="C14" s="488">
        <f t="shared" ref="C14:Q14" ca="1" si="1">SUM(C4:C13)</f>
        <v>0</v>
      </c>
      <c r="D14" s="488">
        <f t="shared" ca="1" si="1"/>
        <v>54310.284431147498</v>
      </c>
      <c r="E14" s="488">
        <f t="shared" si="1"/>
        <v>3055.049984612996</v>
      </c>
      <c r="F14" s="488">
        <f t="shared" ca="1" si="1"/>
        <v>47554.040664190441</v>
      </c>
      <c r="G14" s="488">
        <f t="shared" si="1"/>
        <v>38450.862108683243</v>
      </c>
      <c r="H14" s="488">
        <f t="shared" si="1"/>
        <v>10022.175554501799</v>
      </c>
      <c r="I14" s="488">
        <f t="shared" si="1"/>
        <v>0</v>
      </c>
      <c r="J14" s="488">
        <f t="shared" si="1"/>
        <v>74.668932266935471</v>
      </c>
      <c r="K14" s="488">
        <f t="shared" si="1"/>
        <v>0</v>
      </c>
      <c r="L14" s="488">
        <f t="shared" ca="1" si="1"/>
        <v>0</v>
      </c>
      <c r="M14" s="488">
        <f t="shared" si="1"/>
        <v>2542.1683876349653</v>
      </c>
      <c r="N14" s="488">
        <f t="shared" ca="1" si="1"/>
        <v>17821.406465154454</v>
      </c>
      <c r="O14" s="488">
        <f t="shared" si="1"/>
        <v>275.1466666666667</v>
      </c>
      <c r="P14" s="489">
        <f t="shared" si="1"/>
        <v>552.93333333333339</v>
      </c>
      <c r="Q14" s="489">
        <f t="shared" ca="1" si="1"/>
        <v>226618.2102809978</v>
      </c>
    </row>
    <row r="16" spans="1:17">
      <c r="A16" s="491" t="s">
        <v>556</v>
      </c>
      <c r="B16" s="841">
        <f ca="1">huishoudens!B10</f>
        <v>0.16622106718024762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3000.0567051402877</v>
      </c>
      <c r="C21" s="478">
        <f t="shared" ref="C21:C30" ca="1" si="3">C4*$C$16</f>
        <v>0</v>
      </c>
      <c r="D21" s="478">
        <f t="shared" ref="D21:D30" si="4">D4*$D$16</f>
        <v>4845.5199753201996</v>
      </c>
      <c r="E21" s="478">
        <f t="shared" ref="E21:E30" si="5">E4*$E$16</f>
        <v>211.36482586643828</v>
      </c>
      <c r="F21" s="478">
        <f t="shared" ref="F21:F30" si="6">F4*$F$16</f>
        <v>9652.8489427238856</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17709.790449050812</v>
      </c>
    </row>
    <row r="22" spans="1:17">
      <c r="A22" s="477" t="s">
        <v>156</v>
      </c>
      <c r="B22" s="478">
        <f t="shared" ca="1" si="2"/>
        <v>3087.4318232937812</v>
      </c>
      <c r="C22" s="478">
        <f t="shared" ca="1" si="3"/>
        <v>0</v>
      </c>
      <c r="D22" s="478">
        <f t="shared" ca="1" si="4"/>
        <v>4309.0560912960009</v>
      </c>
      <c r="E22" s="478">
        <f t="shared" si="5"/>
        <v>94.411761467675404</v>
      </c>
      <c r="F22" s="478">
        <f t="shared" ca="1" si="6"/>
        <v>904.25687267568003</v>
      </c>
      <c r="G22" s="478">
        <f t="shared" si="7"/>
        <v>0</v>
      </c>
      <c r="H22" s="478">
        <f t="shared" si="8"/>
        <v>0</v>
      </c>
      <c r="I22" s="478">
        <f t="shared" si="9"/>
        <v>0</v>
      </c>
      <c r="J22" s="478">
        <f t="shared" si="10"/>
        <v>1.0628227751355974E-2</v>
      </c>
      <c r="K22" s="478">
        <f t="shared" si="11"/>
        <v>0</v>
      </c>
      <c r="L22" s="478">
        <f t="shared" ca="1" si="12"/>
        <v>0</v>
      </c>
      <c r="M22" s="478">
        <f t="shared" si="13"/>
        <v>0</v>
      </c>
      <c r="N22" s="478">
        <f t="shared" ca="1" si="14"/>
        <v>0</v>
      </c>
      <c r="O22" s="478">
        <f t="shared" si="15"/>
        <v>0</v>
      </c>
      <c r="P22" s="479">
        <f t="shared" si="16"/>
        <v>0</v>
      </c>
      <c r="Q22" s="477">
        <f t="shared" ref="Q22:Q30" ca="1" si="17">SUM(B22:P22)</f>
        <v>8395.1671769608893</v>
      </c>
    </row>
    <row r="23" spans="1:17">
      <c r="A23" s="477" t="s">
        <v>194</v>
      </c>
      <c r="B23" s="478">
        <f t="shared" ca="1" si="2"/>
        <v>120.34372019636493</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120.34372019636493</v>
      </c>
    </row>
    <row r="24" spans="1:17">
      <c r="A24" s="477" t="s">
        <v>112</v>
      </c>
      <c r="B24" s="478">
        <f t="shared" ca="1" si="2"/>
        <v>74.025721163387388</v>
      </c>
      <c r="C24" s="478">
        <f t="shared" ca="1" si="3"/>
        <v>0</v>
      </c>
      <c r="D24" s="478">
        <f t="shared" si="4"/>
        <v>4.1615393600000008</v>
      </c>
      <c r="E24" s="478">
        <f t="shared" si="5"/>
        <v>2.9714413024732393</v>
      </c>
      <c r="F24" s="478">
        <f t="shared" si="6"/>
        <v>495.36061568675979</v>
      </c>
      <c r="G24" s="478">
        <f t="shared" si="7"/>
        <v>0</v>
      </c>
      <c r="H24" s="478">
        <f t="shared" si="8"/>
        <v>0</v>
      </c>
      <c r="I24" s="478">
        <f t="shared" si="9"/>
        <v>0</v>
      </c>
      <c r="J24" s="478">
        <f t="shared" si="10"/>
        <v>22.840408018753454</v>
      </c>
      <c r="K24" s="478">
        <f t="shared" si="11"/>
        <v>0</v>
      </c>
      <c r="L24" s="478">
        <f t="shared" si="12"/>
        <v>0</v>
      </c>
      <c r="M24" s="478">
        <f t="shared" si="13"/>
        <v>0</v>
      </c>
      <c r="N24" s="478">
        <f t="shared" si="14"/>
        <v>0</v>
      </c>
      <c r="O24" s="478">
        <f t="shared" si="15"/>
        <v>0</v>
      </c>
      <c r="P24" s="479">
        <f t="shared" si="16"/>
        <v>0</v>
      </c>
      <c r="Q24" s="477">
        <f t="shared" ca="1" si="17"/>
        <v>599.3597255313739</v>
      </c>
    </row>
    <row r="25" spans="1:17">
      <c r="A25" s="477" t="s">
        <v>635</v>
      </c>
      <c r="B25" s="478">
        <f t="shared" ca="1" si="2"/>
        <v>2351.2190528002175</v>
      </c>
      <c r="C25" s="478">
        <f t="shared" ca="1" si="3"/>
        <v>0</v>
      </c>
      <c r="D25" s="478">
        <f t="shared" si="4"/>
        <v>1793.8400318344004</v>
      </c>
      <c r="E25" s="478">
        <f t="shared" si="5"/>
        <v>358.17382460388103</v>
      </c>
      <c r="F25" s="478">
        <f t="shared" si="6"/>
        <v>1644.4624262525224</v>
      </c>
      <c r="G25" s="478">
        <f t="shared" si="7"/>
        <v>0</v>
      </c>
      <c r="H25" s="478">
        <f t="shared" si="8"/>
        <v>0</v>
      </c>
      <c r="I25" s="478">
        <f t="shared" si="9"/>
        <v>0</v>
      </c>
      <c r="J25" s="478">
        <f t="shared" si="10"/>
        <v>3.5817657759903465</v>
      </c>
      <c r="K25" s="478">
        <f t="shared" si="11"/>
        <v>0</v>
      </c>
      <c r="L25" s="478">
        <f t="shared" si="12"/>
        <v>0</v>
      </c>
      <c r="M25" s="478">
        <f t="shared" si="13"/>
        <v>0</v>
      </c>
      <c r="N25" s="478">
        <f t="shared" si="14"/>
        <v>0</v>
      </c>
      <c r="O25" s="478">
        <f t="shared" si="15"/>
        <v>0</v>
      </c>
      <c r="P25" s="479">
        <f t="shared" si="16"/>
        <v>0</v>
      </c>
      <c r="Q25" s="477">
        <f t="shared" ca="1" si="17"/>
        <v>6151.2771012670119</v>
      </c>
    </row>
    <row r="26" spans="1:17" s="483" customFormat="1">
      <c r="A26" s="481" t="s">
        <v>561</v>
      </c>
      <c r="B26" s="835">
        <f t="shared" ca="1" si="2"/>
        <v>3.682154721352692</v>
      </c>
      <c r="C26" s="482">
        <f t="shared" ca="1" si="3"/>
        <v>0</v>
      </c>
      <c r="D26" s="482">
        <f t="shared" si="4"/>
        <v>18.099817281194795</v>
      </c>
      <c r="E26" s="482">
        <f t="shared" si="5"/>
        <v>26.574493266682072</v>
      </c>
      <c r="F26" s="482">
        <f t="shared" si="6"/>
        <v>0</v>
      </c>
      <c r="G26" s="482">
        <f t="shared" si="7"/>
        <v>9974.4281750168393</v>
      </c>
      <c r="H26" s="482">
        <f t="shared" si="8"/>
        <v>2495.521713070948</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12518.306353357017</v>
      </c>
    </row>
    <row r="27" spans="1:17">
      <c r="A27" s="477" t="s">
        <v>551</v>
      </c>
      <c r="B27" s="478">
        <f t="shared" ca="1" si="2"/>
        <v>0</v>
      </c>
      <c r="C27" s="478">
        <f t="shared" ca="1" si="3"/>
        <v>0</v>
      </c>
      <c r="D27" s="478">
        <f t="shared" si="4"/>
        <v>0</v>
      </c>
      <c r="E27" s="478">
        <f t="shared" si="5"/>
        <v>0</v>
      </c>
      <c r="F27" s="478">
        <f t="shared" si="6"/>
        <v>0</v>
      </c>
      <c r="G27" s="478">
        <f t="shared" si="7"/>
        <v>291.95200800158818</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291.95200800158818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8636.7591773153927</v>
      </c>
      <c r="C31" s="488">
        <f t="shared" ca="1" si="18"/>
        <v>0</v>
      </c>
      <c r="D31" s="488">
        <f t="shared" ca="1" si="18"/>
        <v>10970.677455091796</v>
      </c>
      <c r="E31" s="488">
        <f t="shared" si="18"/>
        <v>693.49634650715007</v>
      </c>
      <c r="F31" s="488">
        <f t="shared" ca="1" si="18"/>
        <v>12696.928857338848</v>
      </c>
      <c r="G31" s="488">
        <f t="shared" si="18"/>
        <v>10266.380183018427</v>
      </c>
      <c r="H31" s="488">
        <f t="shared" si="18"/>
        <v>2495.521713070948</v>
      </c>
      <c r="I31" s="488">
        <f t="shared" si="18"/>
        <v>0</v>
      </c>
      <c r="J31" s="488">
        <f t="shared" si="18"/>
        <v>26.432802022495153</v>
      </c>
      <c r="K31" s="488">
        <f t="shared" si="18"/>
        <v>0</v>
      </c>
      <c r="L31" s="488">
        <f t="shared" ca="1" si="18"/>
        <v>0</v>
      </c>
      <c r="M31" s="488">
        <f t="shared" si="18"/>
        <v>0</v>
      </c>
      <c r="N31" s="488">
        <f t="shared" ca="1" si="18"/>
        <v>0</v>
      </c>
      <c r="O31" s="488">
        <f t="shared" si="18"/>
        <v>0</v>
      </c>
      <c r="P31" s="489">
        <f t="shared" si="18"/>
        <v>0</v>
      </c>
      <c r="Q31" s="489">
        <f t="shared" ca="1" si="18"/>
        <v>45786.196534365052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0.16622106718024762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0.16622106718024762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0.16622106718024762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2018-09-06T12:49:10Z</dcterms:modified>
</cp:coreProperties>
</file>