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R19"/>
  <c r="R20" s="1"/>
  <c r="H14" i="48"/>
  <c r="G31"/>
  <c r="H26"/>
  <c r="H31" s="1"/>
  <c r="G53" i="14"/>
  <c r="G55" s="1"/>
  <c r="O69" s="1"/>
  <c r="B9" i="6" s="1"/>
  <c r="B12" s="1"/>
  <c r="M53" i="14"/>
  <c r="M55" s="1"/>
  <c r="C12" i="13"/>
  <c r="D37" i="14" s="1"/>
  <c r="D41" s="1"/>
  <c r="C23" i="48"/>
  <c r="C24"/>
  <c r="C29"/>
  <c r="C21"/>
  <c r="C26"/>
  <c r="F25"/>
  <c r="F31" s="1"/>
  <c r="F14"/>
  <c r="C28" l="1"/>
  <c r="C31" s="1"/>
  <c r="J14"/>
  <c r="R13" i="14"/>
  <c r="R15" s="1"/>
  <c r="R23" s="1"/>
  <c r="C22" i="48"/>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<sst xmlns="http://schemas.openxmlformats.org/spreadsheetml/2006/main" count="1923" uniqueCount="815">
  <si>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</si>
  <si>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</si>
  <si>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</si>
  <si>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</si>
  <si>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</si>
  <si>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</si>
  <si>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</si>
  <si>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</si>
  <si>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</si>
  <si>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</si>
  <si>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</si>
  <si>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</si>
  <si>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</si>
  <si>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</si>
  <si>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</si>
  <si>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</si>
  <si>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</si>
  <si>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</si>
  <si>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</si>
  <si>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</si>
  <si>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</si>
  <si>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</si>
  <si>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</si>
  <si>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</si>
  <si>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</si>
  <si>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</si>
  <si>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</si>
  <si>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</si>
  <si>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</si>
  <si>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</si>
  <si>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</si>
  <si>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</si>
  <si>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</si>
  <si>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</si>
  <si>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</si>
  <si>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</si>
  <si>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</si>
  <si>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</si>
  <si>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</si>
  <si>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</si>
  <si>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</si>
  <si>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</si>
  <si>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</si>
  <si>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</si>
  <si>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</si>
  <si>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</si>
  <si>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</si>
  <si>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</si>
  <si>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</si>
  <si>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</si>
  <si>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</si>
  <si>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</si>
  <si>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</si>
  <si>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</si>
  <si>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</si>
  <si>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</si>
  <si>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</si>
  <si>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</si>
  <si>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</si>
  <si>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</si>
  <si>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</si>
  <si>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</si>
  <si>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</si>
  <si>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</si>
  <si>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</si>
  <si>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</si>
  <si>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</si>
  <si>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</si>
  <si>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</si>
  <si>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</si>
  <si>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</si>
  <si>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</si>
  <si>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</si>
  <si>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</si>
  <si>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</si>
  <si>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</si>
  <si>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</si>
  <si>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</si>
  <si>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</si>
  <si>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</si>
  <si>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</si>
  <si>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</si>
  <si>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</si>
  <si>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</si>
  <si>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</si>
  <si>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</si>
  <si>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</si>
  <si>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</si>
  <si>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</si>
  <si>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</si>
  <si>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</si>
  <si>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</si>
  <si>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</si>
  <si>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</si>
  <si>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</si>
  <si>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</si>
  <si>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</si>
  <si>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</si>
  <si>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</si>
  <si>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</si>
  <si>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</si>
  <si>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</si>
  <si>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</si>
  <si>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</si>
  <si>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</si>
  <si>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</si>
  <si>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</si>
  <si>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</si>
  <si>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</si>
  <si>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</si>
  <si>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</si>
  <si>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</si>
  <si>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</si>
  <si>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</si>
  <si>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</si>
  <si>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</si>
  <si>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</si>
  <si>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</si>
  <si>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</si>
  <si>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</si>
  <si>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</si>
  <si>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</si>
  <si>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</si>
  <si>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</si>
  <si>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</si>
  <si>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</si>
  <si>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</si>
  <si>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</si>
  <si>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</si>
  <si>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</si>
  <si>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</si>
  <si>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</si>
  <si>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</si>
  <si>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</si>
  <si>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</si>
  <si>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</si>
  <si>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</si>
  <si>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</si>
  <si>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</si>
  <si>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</si>
  <si>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</si>
  <si>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</si>
  <si>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</si>
  <si>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</si>
  <si>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</si>
  <si>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</si>
  <si>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</si>
  <si>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</si>
  <si>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</si>
  <si>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</si>
  <si>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</si>
  <si>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</si>
  <si>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</si>
  <si>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</si>
  <si>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</si>
  <si>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</si>
  <si>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</si>
  <si>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</si>
  <si>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</si>
  <si>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</si>
  <si>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</si>
  <si>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</si>
  <si>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</si>
  <si>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</si>
  <si>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</si>
  <si>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</si>
  <si>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</si>
  <si>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</si>
  <si>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</si>
  <si>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</si>
  <si>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</si>
  <si>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</si>
  <si>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</si>
  <si>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</si>
  <si>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</si>
  <si>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</si>
  <si>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</si>
  <si>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</si>
  <si>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</si>
  <si>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</si>
  <si>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</si>
  <si>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</si>
  <si>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</si>
  <si>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</si>
  <si>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</si>
  <si>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</si>
  <si>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</si>
  <si>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</si>
  <si>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</si>
  <si>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</si>
  <si>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</si>
  <si>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</si>
  <si>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</si>
  <si>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</si>
  <si>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</si>
  <si>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</si>
  <si>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</si>
  <si>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</si>
  <si>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</si>
  <si>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</si>
  <si>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</si>
  <si>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</si>
  <si>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</si>
  <si>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</si>
  <si>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</si>
  <si>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</si>
  <si>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</si>
  <si>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</si>
  <si>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</si>
  <si>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</si>
  <si>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</si>
  <si>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</si>
  <si>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</si>
  <si>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</si>
  <si>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</si>
  <si>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</si>
  <si>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</si>
  <si>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</si>
  <si>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</si>
  <si>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</si>
  <si>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</si>
  <si>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</si>
  <si>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</si>
  <si>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</si>
  <si>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</si>
  <si>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</si>
  <si>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</si>
  <si>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</si>
  <si>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</si>
  <si>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</si>
  <si>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</si>
  <si>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</si>
  <si>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</si>
  <si>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</si>
  <si>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</si>
  <si>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</si>
  <si>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</si>
  <si>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</si>
  <si>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</si>
  <si>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</si>
  <si>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</si>
  <si>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</si>
  <si>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</si>
  <si>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</si>
  <si>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</si>
  <si>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</si>
  <si>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</si>
  <si>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</si>
  <si>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</si>
  <si>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</si>
  <si>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</si>
  <si>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</si>
  <si>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</si>
  <si>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</si>
  <si>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</si>
  <si>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</si>
  <si>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</si>
  <si>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</si>
  <si>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</si>
  <si>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</si>
  <si>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</si>
  <si>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</si>
  <si>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</si>
  <si>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</si>
  <si>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</si>
  <si>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</si>
  <si>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</si>
  <si>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</si>
  <si>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</si>
  <si>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</si>
  <si>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</si>
  <si>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</si>
  <si>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</si>
  <si>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</si>
  <si>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</si>
  <si>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</si>
  <si>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</si>
  <si>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</si>
  <si>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</si>
  <si>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</si>
  <si>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</si>
  <si>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</si>
  <si>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</si>
  <si>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</si>
  <si>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</si>
  <si>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</si>
  <si>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</si>
  <si>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</si>
  <si>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</si>
  <si>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</si>
  <si>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</si>
  <si>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</si>
  <si>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</si>
  <si>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</si>
  <si>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</si>
  <si>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</si>
  <si>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</si>
  <si>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</si>
  <si>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</si>
  <si>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</si>
  <si>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</si>
  <si>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</si>
  <si>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</si>
  <si>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</si>
  <si>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</si>
  <si>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</si>
  <si>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</si>
  <si>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</si>
  <si>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</si>
  <si>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</si>
  <si>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</si>
  <si>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</si>
  <si>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</si>
  <si>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</si>
  <si>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</si>
  <si>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</si>
  <si>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</si>
  <si>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</si>
  <si>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</si>
  <si>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</si>
  <si>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</si>
  <si>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</si>
  <si>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</si>
  <si>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</si>
  <si>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</si>
  <si>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</si>
  <si>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</si>
  <si>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</si>
  <si>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</si>
  <si>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</si>
  <si>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</si>
  <si>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</si>
  <si>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</si>
  <si>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</si>
  <si>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</si>
  <si>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</si>
  <si>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</si>
  <si>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</si>
  <si>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</si>
  <si>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</si>
  <si>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</si>
  <si>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</si>
  <si>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</si>
  <si>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</si>
  <si>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</si>
  <si>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</si>
  <si>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</si>
  <si>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</si>
  <si>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</si>
  <si>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</si>
  <si>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</si>
  <si>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</si>
  <si>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</si>
  <si>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</si>
  <si>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</si>
  <si>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</si>
  <si>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</si>
  <si>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</si>
  <si>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</si>
  <si>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</si>
  <si>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</si>
  <si>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</si>
  <si>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</si>
  <si>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</si>
  <si>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</si>
  <si>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</si>
  <si>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</si>
  <si>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</si>
  <si>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</si>
  <si>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</si>
  <si>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</si>
  <si>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</si>
  <si>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</si>
  <si>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</si>
  <si>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</si>
  <si>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</si>
  <si>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</si>
  <si>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</si>
  <si>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</si>
  <si>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</si>
  <si>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</si>
  <si>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</si>
  <si>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</si>
  <si>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</si>
  <si>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</si>
  <si>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</si>
  <si>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</si>
  <si>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</si>
  <si>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</si>
  <si>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</si>
  <si>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</si>
  <si>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</si>
  <si>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</si>
  <si>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</si>
  <si>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</si>
  <si>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</si>
  <si>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</si>
  <si>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</si>
  <si>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</si>
  <si>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</si>
  <si>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</si>
  <si>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</si>
  <si>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</si>
  <si>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</si>
  <si>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</si>
  <si>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</si>
  <si>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</si>
  <si>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</si>
  <si>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</si>
  <si>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</si>
  <si>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</si>
  <si>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</si>
  <si>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</si>
  <si>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</si>
  <si>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</si>
  <si>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</si>
  <si>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</si>
  <si>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</si>
  <si>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</si>
  <si>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</si>
  <si>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</si>
  <si>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</si>
  <si>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</si>
  <si>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</si>
  <si>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</si>
  <si>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</si>
  <si>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</si>
  <si>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</si>
  <si>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</si>
  <si>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</si>
  <si>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</si>
  <si>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</si>
  <si>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</si>
  <si>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</si>
  <si>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</si>
  <si>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</si>
  <si>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</si>
  <si>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</si>
  <si>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</si>
  <si>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</si>
  <si>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</si>
  <si>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</si>
  <si>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</si>
  <si>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</si>
  <si>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</si>
  <si>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</si>
  <si>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</si>
  <si>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</si>
  <si>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</si>
  <si>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</si>
  <si>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</si>
  <si>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</si>
  <si>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</si>
  <si>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</si>
  <si>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</si>
  <si>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</si>
  <si>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</si>
  <si>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</si>
  <si>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</si>
  <si>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</si>
  <si>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</si>
  <si>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</si>
  <si>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</si>
  <si>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</si>
  <si>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</si>
  <si>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</si>
  <si>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</si>
  <si>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</si>
  <si>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</si>
  <si>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</si>
  <si>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</si>
  <si>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</si>
  <si>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</si>
  <si>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</si>
  <si>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</si>
  <si>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</si>
  <si>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</si>
  <si>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</si>
  <si>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</si>
  <si>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</si>
  <si>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</si>
  <si>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</si>
  <si>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</si>
  <si>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</si>
  <si>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</si>
  <si>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</si>
  <si>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</si>
  <si>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</si>
  <si>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</si>
  <si>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</si>
  <si>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</si>
  <si>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</si>
  <si>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</si>
  <si>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</si>
  <si>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</si>
  <si>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</si>
  <si>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</si>
  <si>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</si>
  <si>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</si>
  <si>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</si>
  <si>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</si>
  <si>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</si>
  <si>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</si>
  <si>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</si>
  <si>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</si>
  <si>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</si>
  <si>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</si>
  <si>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</si>
  <si>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</si>
  <si>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</si>
  <si>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</si>
  <si>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</si>
  <si>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</si>
  <si>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</si>
  <si>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</si>
  <si>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</si>
  <si>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</si>
  <si>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</si>
  <si>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</si>
  <si>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</si>
  <si>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</si>
  <si>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</si>
  <si>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</si>
  <si>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</si>
  <si>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</si>
  <si>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</si>
  <si>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</si>
  <si>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</si>
  <si>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</si>
  <si>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</si>
  <si>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</si>
  <si>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</si>
  <si>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</si>
  <si>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</si>
  <si>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</si>
  <si>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</si>
  <si>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</si>
  <si>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</si>
  <si>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</si>
  <si>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</si>
  <si>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</si>
  <si>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</si>
  <si>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</si>
  <si>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</si>
  <si>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</si>
  <si>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</si>
  <si>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</si>
  <si>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</si>
  <si>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</si>
  <si>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</si>
  <si>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</si>
  <si>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</si>
  <si>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</si>
  <si>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</si>
  <si>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</si>
  <si>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</si>
  <si>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</si>
  <si>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</si>
  <si>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</si>
  <si>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</si>
  <si>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</si>
  <si>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</si>
  <si>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</si>
  <si>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</si>
  <si>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</si>
  <si>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</si>
  <si>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</si>
  <si>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</si>
  <si>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</si>
  <si>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</si>
  <si>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</si>
  <si>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</si>
  <si>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</si>
  <si>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</si>
  <si>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</si>
  <si>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</si>
  <si>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</si>
  <si>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</si>
  <si>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</si>
  <si>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</si>
  <si>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</si>
  <si>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</si>
  <si>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</si>
  <si>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</si>
  <si>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</si>
  <si>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</si>
  <si>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</si>
  <si>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</si>
  <si>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</si>
  <si>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</si>
  <si>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</si>
  <si>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</si>
  <si>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</si>
  <si>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</si>
  <si>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</si>
  <si>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</si>
  <si>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</si>
  <si>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</si>
  <si>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</si>
  <si>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</si>
  <si>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</si>
  <si>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</si>
  <si>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</si>
  <si>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</si>
  <si>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</si>
  <si>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</si>
  <si>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</si>
  <si>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</si>
  <si>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</si>
  <si>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</si>
  <si>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</si>
  <si>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</si>
  <si>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</si>
  <si>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</si>
  <si>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</si>
  <si>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</si>
  <si>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</si>
  <si>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</si>
  <si>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</si>
  <si>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</si>
  <si>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</si>
  <si>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</si>
  <si>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</si>
  <si>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</si>
  <si>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</si>
  <si>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</si>
  <si>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</si>
  <si>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</si>
  <si>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</si>
  <si>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</si>
  <si>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</si>
  <si>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</si>
  <si>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</si>
  <si>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</si>
  <si>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</si>
  <si>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</si>
  <si>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</si>
  <si>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</si>
  <si>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</si>
  <si>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</si>
  <si>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</si>
  <si>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</si>
  <si>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</si>
  <si>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</si>
  <si>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</si>
  <si>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</si>
  <si>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</si>
  <si>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</si>
  <si>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</si>
  <si>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</si>
  <si>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</si>
  <si>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</si>
  <si>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</si>
  <si>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</si>
  <si>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</si>
  <si>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</si>
  <si>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</si>
  <si>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</si>
  <si>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</si>
  <si>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</si>
  <si>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</si>
  <si>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</si>
  <si>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</si>
  <si>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</si>
  <si>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</si>
  <si>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</si>
  <si>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</si>
  <si>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</si>
  <si>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</si>
  <si>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</si>
  <si>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</si>
  <si>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</si>
  <si>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</si>
  <si>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</si>
  <si>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</si>
  <si>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</si>
  <si>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</si>
  <si>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</si>
  <si>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</si>
  <si>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</si>
  <si>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</si>
  <si>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</si>
  <si>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</si>
  <si>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</si>
  <si>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</si>
  <si>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</si>
  <si>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</si>
  <si>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</si>
  <si>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</si>
  <si>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</si>
  <si>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</si>
  <si>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</si>
  <si>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</si>
  <si>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</si>
  <si>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</si>
  <si>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</si>
  <si>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</si>
  <si>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</si>
  <si>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</si>
  <si>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</si>
  <si>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</si>
  <si>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</si>
  <si>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</si>
  <si>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</si>
  <si>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</si>
  <si>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</si>
  <si>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</si>
  <si>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</si>
  <si>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</si>
  <si>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</si>
  <si>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</si>
  <si>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</si>
  <si>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</si>
  <si>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</si>
  <si>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</si>
  <si>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</si>
  <si>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</si>
  <si>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</si>
  <si>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</si>
  <si>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</si>
  <si>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</si>
  <si>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</si>
  <si>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</si>
  <si>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</si>
  <si>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</si>
  <si>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</si>
  <si>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</si>
  <si>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</si>
  <si>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</si>
  <si>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</si>
  <si>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</si>
  <si>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</si>
  <si>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</si>
  <si>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</si>
  <si>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</si>
  <si>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</si>
  <si>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</si>
  <si>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</si>
  <si>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</si>
  <si>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</si>
  <si>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</si>
  <si>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</si>
  <si>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</si>
  <si>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</si>
  <si>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</si>
  <si>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</si>
  <si>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</si>
  <si>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</si>
  <si>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</si>
  <si>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</si>
  <si>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</si>
  <si>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</si>
  <si>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</si>
  <si>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</si>
  <si>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</si>
  <si>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</si>
  <si>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</si>
  <si>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</si>
  <si>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</si>
  <si>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</si>
  <si>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</si>
  <si>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</si>
  <si>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</si>
  <si>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</si>
  <si>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</si>
  <si>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</si>
  <si>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</si>
  <si>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</si>
  <si>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</si>
  <si>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</si>
  <si>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</si>
  <si>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</si>
  <si>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</si>
  <si>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</si>
  <si>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</si>
  <si>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</si>
  <si>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</si>
  <si>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</si>
  <si>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</si>
  <si>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</si>
  <si>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</si>
  <si>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</si>
  <si>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</si>
  <si>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</si>
  <si>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</si>
  <si>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</si>
  <si>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</si>
  <si>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</si>
  <si>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</si>
  <si>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</si>
  <si>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</si>
  <si>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</si>
  <si>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</si>
  <si>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</si>
  <si>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</si>
  <si>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</si>
  <si>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</si>
  <si>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</si>
  <si>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</si>
  <si>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</si>
  <si>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</si>
  <si>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71037</t>
  </si>
  <si>
    <t>LUMMEN</t>
  </si>
  <si>
    <t>Eandis (januari 2018); Infrax (juni 2018)</t>
  </si>
  <si>
    <t>MOW (september 2017)</t>
  </si>
  <si>
    <t>referentietaak LNE (2017); Jaarverslag De Lijn (2016)</t>
  </si>
  <si>
    <t>VEA (april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</si>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</sst>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143103.73891534345</c:v>
                </c:pt>
                <c:pt idx="1">
                  <c:v>56318.595063085573</c:v>
                </c:pt>
                <c:pt idx="2">
                  <c:v>1081.239</c:v>
                </c:pt>
                <c:pt idx="3">
                  <c:v>7173.4115868118533</c:v>
                </c:pt>
                <c:pt idx="4">
                  <c:v>167552.07753729622</c:v>
                </c:pt>
                <c:pt idx="5">
                  <c:v>410917.81653892103</c:v>
                </c:pt>
                <c:pt idx="6">
                  <c:v>2072.1625023769566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6560"/>
        <c:axId val="156472448"/>
      </c:barChart>
      <c:catAx>
        <c:axId val="156466560"/>
        <c:scaling>
          <c:orientation val="minMax"/>
        </c:scaling>
        <c:axPos val="b"/>
        <c:numFmt formatCode="General" sourceLinked="0"/>
        <c:tickLblPos val="nextTo"/>
        <c:crossAx val="156472448"/>
        <c:crosses val="autoZero"/>
        <c:auto val="1"/>
        <c:lblAlgn val="ctr"/>
        <c:lblOffset val="100"/>
      </c:catAx>
      <c:valAx>
        <c:axId val="156472448"/>
        <c:scaling>
          <c:orientation val="minMax"/>
        </c:scaling>
        <c:axPos val="l"/>
        <c:majorGridlines/>
        <c:numFmt formatCode="#,##0" sourceLinked="1"/>
        <c:tickLblPos val="nextTo"/>
        <c:crossAx val="156466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143103.73891534345</c:v>
                </c:pt>
                <c:pt idx="1">
                  <c:v>56318.595063085573</c:v>
                </c:pt>
                <c:pt idx="2">
                  <c:v>1081.239</c:v>
                </c:pt>
                <c:pt idx="3">
                  <c:v>7173.4115868118533</c:v>
                </c:pt>
                <c:pt idx="4">
                  <c:v>167552.07753729622</c:v>
                </c:pt>
                <c:pt idx="5">
                  <c:v>410917.81653892103</c:v>
                </c:pt>
                <c:pt idx="6">
                  <c:v>2072.1625023769566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26496.196757235739</c:v>
                </c:pt>
                <c:pt idx="1">
                  <c:v>8474.1541502911186</c:v>
                </c:pt>
                <c:pt idx="2">
                  <c:v>130.70426612437055</c:v>
                </c:pt>
                <c:pt idx="3">
                  <c:v>1672.4909172864564</c:v>
                </c:pt>
                <c:pt idx="4">
                  <c:v>29178.343068447211</c:v>
                </c:pt>
                <c:pt idx="5">
                  <c:v>102896.20987624422</c:v>
                </c:pt>
                <c:pt idx="6">
                  <c:v>523.53302357226517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8736"/>
        <c:axId val="156954624"/>
      </c:barChart>
      <c:catAx>
        <c:axId val="156948736"/>
        <c:scaling>
          <c:orientation val="minMax"/>
        </c:scaling>
        <c:axPos val="b"/>
        <c:numFmt formatCode="General" sourceLinked="0"/>
        <c:tickLblPos val="nextTo"/>
        <c:crossAx val="156954624"/>
        <c:crosses val="autoZero"/>
        <c:auto val="1"/>
        <c:lblAlgn val="ctr"/>
        <c:lblOffset val="100"/>
      </c:catAx>
      <c:valAx>
        <c:axId val="156954624"/>
        <c:scaling>
          <c:orientation val="minMax"/>
        </c:scaling>
        <c:axPos val="l"/>
        <c:majorGridlines/>
        <c:numFmt formatCode="#,##0" sourceLinked="1"/>
        <c:tickLblPos val="nextTo"/>
        <c:crossAx val="15694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26496.196757235739</c:v>
                </c:pt>
                <c:pt idx="1">
                  <c:v>8474.1541502911186</c:v>
                </c:pt>
                <c:pt idx="2">
                  <c:v>130.70426612437055</c:v>
                </c:pt>
                <c:pt idx="3">
                  <c:v>1672.4909172864564</c:v>
                </c:pt>
                <c:pt idx="4">
                  <c:v>29178.343068447211</c:v>
                </c:pt>
                <c:pt idx="5">
                  <c:v>102896.20987624422</c:v>
                </c:pt>
                <c:pt idx="6">
                  <c:v>523.53302357226517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5985</v>
      </c>
      <c r="C9" s="342">
        <v>6211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1811.36</v>
      </c>
    </row>
    <row r="15" spans="1:6">
      <c r="A15" s="348" t="s">
        <v>184</v>
      </c>
      <c r="B15" s="334">
        <v>710</v>
      </c>
    </row>
    <row r="16" spans="1:6">
      <c r="A16" s="348" t="s">
        <v>6</v>
      </c>
      <c r="B16" s="334">
        <v>605</v>
      </c>
    </row>
    <row r="17" spans="1:6">
      <c r="A17" s="348" t="s">
        <v>7</v>
      </c>
      <c r="B17" s="334">
        <v>228</v>
      </c>
    </row>
    <row r="18" spans="1:6">
      <c r="A18" s="348" t="s">
        <v>8</v>
      </c>
      <c r="B18" s="334">
        <v>426</v>
      </c>
    </row>
    <row r="19" spans="1:6">
      <c r="A19" s="348" t="s">
        <v>9</v>
      </c>
      <c r="B19" s="334">
        <v>388</v>
      </c>
    </row>
    <row r="20" spans="1:6">
      <c r="A20" s="348" t="s">
        <v>10</v>
      </c>
      <c r="B20" s="334">
        <v>286</v>
      </c>
    </row>
    <row r="21" spans="1:6">
      <c r="A21" s="348" t="s">
        <v>11</v>
      </c>
      <c r="B21" s="334">
        <v>4467</v>
      </c>
    </row>
    <row r="22" spans="1:6">
      <c r="A22" s="348" t="s">
        <v>12</v>
      </c>
      <c r="B22" s="334">
        <v>10027</v>
      </c>
    </row>
    <row r="23" spans="1:6">
      <c r="A23" s="348" t="s">
        <v>13</v>
      </c>
      <c r="B23" s="334">
        <v>232</v>
      </c>
    </row>
    <row r="24" spans="1:6">
      <c r="A24" s="348" t="s">
        <v>14</v>
      </c>
      <c r="B24" s="334">
        <v>32</v>
      </c>
    </row>
    <row r="25" spans="1:6">
      <c r="A25" s="348" t="s">
        <v>15</v>
      </c>
      <c r="B25" s="334">
        <v>1372</v>
      </c>
    </row>
    <row r="26" spans="1:6">
      <c r="A26" s="348" t="s">
        <v>16</v>
      </c>
      <c r="B26" s="334">
        <v>426</v>
      </c>
    </row>
    <row r="27" spans="1:6">
      <c r="A27" s="348" t="s">
        <v>17</v>
      </c>
      <c r="B27" s="334">
        <v>496</v>
      </c>
    </row>
    <row r="28" spans="1:6" s="356" customFormat="1">
      <c r="A28" s="355" t="s">
        <v>18</v>
      </c>
      <c r="B28" s="355">
        <v>463</v>
      </c>
    </row>
    <row r="29" spans="1:6">
      <c r="A29" s="355" t="s">
        <v>744</v>
      </c>
      <c r="B29" s="355">
        <v>204</v>
      </c>
      <c r="C29" s="356"/>
      <c r="D29" s="356"/>
      <c r="E29" s="356"/>
      <c r="F29" s="356"/>
    </row>
    <row r="30" spans="1:6">
      <c r="A30" s="341" t="s">
        <v>745</v>
      </c>
      <c r="B30" s="341">
        <v>56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15</v>
      </c>
      <c r="F36" s="334">
        <v>15979714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2327</v>
      </c>
      <c r="D39" s="334">
        <v>33642858</v>
      </c>
      <c r="E39" s="334">
        <v>5938</v>
      </c>
      <c r="F39" s="334">
        <v>20998306.900000002</v>
      </c>
    </row>
    <row r="40" spans="1:6">
      <c r="A40" s="348" t="s">
        <v>30</v>
      </c>
      <c r="B40" s="348" t="s">
        <v>29</v>
      </c>
      <c r="C40" s="334">
        <v>0</v>
      </c>
      <c r="D40" s="334">
        <v>0</v>
      </c>
      <c r="E40" s="334">
        <v>0</v>
      </c>
      <c r="F40" s="334">
        <v>0</v>
      </c>
    </row>
    <row r="41" spans="1:6">
      <c r="A41" s="348" t="s">
        <v>32</v>
      </c>
      <c r="B41" s="348" t="s">
        <v>33</v>
      </c>
      <c r="C41" s="334">
        <v>49</v>
      </c>
      <c r="D41" s="334">
        <v>12315461.699999999</v>
      </c>
      <c r="E41" s="334">
        <v>138</v>
      </c>
      <c r="F41" s="334">
        <v>6427460.25</v>
      </c>
    </row>
    <row r="42" spans="1:6">
      <c r="A42" s="348" t="s">
        <v>32</v>
      </c>
      <c r="B42" s="348" t="s">
        <v>34</v>
      </c>
      <c r="C42" s="334">
        <v>0</v>
      </c>
      <c r="D42" s="334">
        <v>0</v>
      </c>
      <c r="E42" s="334">
        <v>3</v>
      </c>
      <c r="F42" s="334">
        <v>437055</v>
      </c>
    </row>
    <row r="43" spans="1:6">
      <c r="A43" s="348" t="s">
        <v>32</v>
      </c>
      <c r="B43" s="348" t="s">
        <v>35</v>
      </c>
      <c r="C43" s="334">
        <v>0</v>
      </c>
      <c r="D43" s="334">
        <v>0</v>
      </c>
      <c r="E43" s="334">
        <v>0</v>
      </c>
      <c r="F43" s="334">
        <v>0</v>
      </c>
    </row>
    <row r="44" spans="1:6">
      <c r="A44" s="348" t="s">
        <v>32</v>
      </c>
      <c r="B44" s="348" t="s">
        <v>36</v>
      </c>
      <c r="C44" s="334">
        <v>15</v>
      </c>
      <c r="D44" s="334">
        <v>26821604</v>
      </c>
      <c r="E44" s="334">
        <v>25</v>
      </c>
      <c r="F44" s="334">
        <v>9229297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16</v>
      </c>
      <c r="D47" s="334">
        <v>1210814</v>
      </c>
      <c r="E47" s="334">
        <v>4</v>
      </c>
      <c r="F47" s="334">
        <v>443328</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10</v>
      </c>
      <c r="D50" s="334">
        <v>72029269</v>
      </c>
      <c r="E50" s="334">
        <v>14</v>
      </c>
      <c r="F50" s="334">
        <v>33564260</v>
      </c>
    </row>
    <row r="51" spans="1:6">
      <c r="A51" s="348" t="s">
        <v>42</v>
      </c>
      <c r="B51" s="348" t="s">
        <v>43</v>
      </c>
      <c r="C51" s="334">
        <v>5</v>
      </c>
      <c r="D51" s="334">
        <v>1724812</v>
      </c>
      <c r="E51" s="334">
        <v>47</v>
      </c>
      <c r="F51" s="334">
        <v>1051948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1081239</v>
      </c>
    </row>
    <row r="55" spans="1:6">
      <c r="A55" s="348" t="s">
        <v>46</v>
      </c>
      <c r="B55" s="348" t="s">
        <v>29</v>
      </c>
      <c r="C55" s="334">
        <v>0</v>
      </c>
      <c r="D55" s="334">
        <v>0</v>
      </c>
      <c r="E55" s="334">
        <v>0</v>
      </c>
      <c r="F55" s="334">
        <v>0</v>
      </c>
    </row>
    <row r="56" spans="1:6">
      <c r="A56" s="348" t="s">
        <v>48</v>
      </c>
      <c r="B56" s="348" t="s">
        <v>29</v>
      </c>
      <c r="C56" s="334">
        <v>5</v>
      </c>
      <c r="D56" s="334">
        <v>563886</v>
      </c>
      <c r="E56" s="334">
        <v>11</v>
      </c>
      <c r="F56" s="334">
        <v>1352505</v>
      </c>
    </row>
    <row r="57" spans="1:6">
      <c r="A57" s="348" t="s">
        <v>49</v>
      </c>
      <c r="B57" s="348" t="s">
        <v>50</v>
      </c>
      <c r="C57" s="334">
        <v>32</v>
      </c>
      <c r="D57" s="334">
        <v>2952555</v>
      </c>
      <c r="E57" s="334">
        <v>79</v>
      </c>
      <c r="F57" s="334">
        <v>1574692</v>
      </c>
    </row>
    <row r="58" spans="1:6">
      <c r="A58" s="348" t="s">
        <v>49</v>
      </c>
      <c r="B58" s="348" t="s">
        <v>51</v>
      </c>
      <c r="C58" s="334">
        <v>16</v>
      </c>
      <c r="D58" s="334">
        <v>3298311</v>
      </c>
      <c r="E58" s="334">
        <v>34</v>
      </c>
      <c r="F58" s="334">
        <v>947194</v>
      </c>
    </row>
    <row r="59" spans="1:6">
      <c r="A59" s="348" t="s">
        <v>49</v>
      </c>
      <c r="B59" s="348" t="s">
        <v>52</v>
      </c>
      <c r="C59" s="334">
        <v>62</v>
      </c>
      <c r="D59" s="334">
        <v>8627450</v>
      </c>
      <c r="E59" s="334">
        <v>154</v>
      </c>
      <c r="F59" s="334">
        <v>7760550.6999999993</v>
      </c>
    </row>
    <row r="60" spans="1:6">
      <c r="A60" s="348" t="s">
        <v>49</v>
      </c>
      <c r="B60" s="348" t="s">
        <v>53</v>
      </c>
      <c r="C60" s="334">
        <v>17</v>
      </c>
      <c r="D60" s="334">
        <v>976397</v>
      </c>
      <c r="E60" s="334">
        <v>41</v>
      </c>
      <c r="F60" s="334">
        <v>1084553</v>
      </c>
    </row>
    <row r="61" spans="1:6">
      <c r="A61" s="348" t="s">
        <v>49</v>
      </c>
      <c r="B61" s="348" t="s">
        <v>54</v>
      </c>
      <c r="C61" s="334">
        <v>83</v>
      </c>
      <c r="D61" s="334">
        <v>6562949.4000000004</v>
      </c>
      <c r="E61" s="334">
        <v>256</v>
      </c>
      <c r="F61" s="334">
        <v>12368449.85</v>
      </c>
    </row>
    <row r="62" spans="1:6">
      <c r="A62" s="348" t="s">
        <v>49</v>
      </c>
      <c r="B62" s="348" t="s">
        <v>55</v>
      </c>
      <c r="C62" s="334">
        <v>7</v>
      </c>
      <c r="D62" s="334">
        <v>1045767</v>
      </c>
      <c r="E62" s="334">
        <v>11</v>
      </c>
      <c r="F62" s="334">
        <v>163194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32945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58461811</v>
      </c>
      <c r="E73" s="476">
        <v>59385155.887356147</v>
      </c>
    </row>
    <row r="74" spans="1:6">
      <c r="A74" s="348" t="s">
        <v>64</v>
      </c>
      <c r="B74" s="348" t="s">
        <v>657</v>
      </c>
      <c r="C74" s="1213" t="s">
        <v>659</v>
      </c>
      <c r="D74" s="476">
        <v>712267.44890489441</v>
      </c>
      <c r="E74" s="476">
        <v>732747.49463675381</v>
      </c>
    </row>
    <row r="75" spans="1:6">
      <c r="A75" s="348" t="s">
        <v>65</v>
      </c>
      <c r="B75" s="348" t="s">
        <v>656</v>
      </c>
      <c r="C75" s="1213" t="s">
        <v>660</v>
      </c>
      <c r="D75" s="476">
        <v>33110911</v>
      </c>
      <c r="E75" s="476">
        <v>33570641.340105653</v>
      </c>
    </row>
    <row r="76" spans="1:6">
      <c r="A76" s="348" t="s">
        <v>65</v>
      </c>
      <c r="B76" s="348" t="s">
        <v>657</v>
      </c>
      <c r="C76" s="1213" t="s">
        <v>661</v>
      </c>
      <c r="D76" s="476">
        <v>87538.448904894409</v>
      </c>
      <c r="E76" s="476">
        <v>86378.482676494517</v>
      </c>
    </row>
    <row r="77" spans="1:6">
      <c r="A77" s="348" t="s">
        <v>66</v>
      </c>
      <c r="B77" s="348" t="s">
        <v>656</v>
      </c>
      <c r="C77" s="1213" t="s">
        <v>662</v>
      </c>
      <c r="D77" s="476">
        <v>333050864</v>
      </c>
      <c r="E77" s="476">
        <v>343280090.26764292</v>
      </c>
    </row>
    <row r="78" spans="1:6">
      <c r="A78" s="341" t="s">
        <v>66</v>
      </c>
      <c r="B78" s="341" t="s">
        <v>657</v>
      </c>
      <c r="C78" s="341" t="s">
        <v>663</v>
      </c>
      <c r="D78" s="1214">
        <v>46413290</v>
      </c>
      <c r="E78" s="1214">
        <v>49137756.466478124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562005.10219021118</v>
      </c>
      <c r="C83" s="476">
        <v>574677.71345497028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35136.012349987155</v>
      </c>
    </row>
    <row r="91" spans="1:6">
      <c r="A91" s="348" t="s">
        <v>68</v>
      </c>
      <c r="B91" s="334">
        <v>5564.784548030867</v>
      </c>
    </row>
    <row r="92" spans="1:6">
      <c r="A92" s="341" t="s">
        <v>69</v>
      </c>
      <c r="B92" s="342">
        <v>5199.2406850487123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31</v>
      </c>
      <c r="C123" s="334">
        <v>59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1</v>
      </c>
    </row>
    <row r="131" spans="1:6">
      <c r="A131" s="348" t="s">
        <v>296</v>
      </c>
      <c r="B131" s="334">
        <v>1</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106508.3605737411</v>
      </c>
      <c r="C3" s="43" t="s">
        <v>170</v>
      </c>
      <c r="D3" s="43"/>
      <c r="E3" s="154"/>
      <c r="F3" s="43"/>
      <c r="G3" s="43"/>
      <c r="H3" s="43"/>
      <c r="I3" s="43"/>
      <c r="J3" s="43"/>
      <c r="K3" s="96"/>
    </row>
    <row r="4" spans="1:11">
      <c r="A4" s="383" t="s">
        <v>171</v>
      </c>
      <c r="B4" s="49">
        <f>IF(ISERROR('SEAP template'!B69),0,'SEAP template'!B69)</f>
        <v>49545.037583066733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286.23970588235295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0.12088378806570105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322.01966911764708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0.12088378806570105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130.70426612437055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20998.306900000003</v>
      </c>
      <c r="C5" s="17">
        <f>IF(ISERROR('Eigen informatie GS &amp; warmtenet'!B57),0,'Eigen informatie GS &amp; warmtenet'!B57)</f>
        <v>0</v>
      </c>
      <c r="D5" s="30">
        <f>(SUM(HH_hh_gas_kWh,HH_rest_gas_kWh)/1000)*0.902</f>
        <v>30345.857916000001</v>
      </c>
      <c r="E5" s="17">
        <f>B46*B57</f>
        <v>2633.7808590926602</v>
      </c>
      <c r="F5" s="17">
        <f>B51*B62</f>
        <v>62012.801821034103</v>
      </c>
      <c r="G5" s="18"/>
      <c r="H5" s="17"/>
      <c r="I5" s="17"/>
      <c r="J5" s="17">
        <f>B50*B61+C50*C61</f>
        <v>0</v>
      </c>
      <c r="K5" s="17"/>
      <c r="L5" s="17"/>
      <c r="M5" s="17"/>
      <c r="N5" s="17">
        <f>B48*B59+C48*C59</f>
        <v>19634.523537852503</v>
      </c>
      <c r="O5" s="17">
        <f>B69*B70*B71</f>
        <v>445.55</v>
      </c>
      <c r="P5" s="17">
        <f>B77*B78*B79/1000-B77*B78*B79/1000/B80</f>
        <v>1468.1333333333332</v>
      </c>
    </row>
    <row r="6" spans="1:16">
      <c r="A6" s="16" t="s">
        <v>621</v>
      </c>
      <c r="B6" s="843">
        <f>kWh_PV_kleiner_dan_10kW</f>
        <v>5564.784548030867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26563.091448030871</v>
      </c>
      <c r="C8" s="21">
        <f>C5</f>
        <v>0</v>
      </c>
      <c r="D8" s="21">
        <f>D5</f>
        <v>30345.857916000001</v>
      </c>
      <c r="E8" s="21">
        <f>E5</f>
        <v>2633.7808590926602</v>
      </c>
      <c r="F8" s="21">
        <f>F5</f>
        <v>62012.801821034103</v>
      </c>
      <c r="G8" s="21"/>
      <c r="H8" s="21"/>
      <c r="I8" s="21"/>
      <c r="J8" s="21">
        <f>J5</f>
        <v>0</v>
      </c>
      <c r="K8" s="21"/>
      <c r="L8" s="21">
        <f>L5</f>
        <v>0</v>
      </c>
      <c r="M8" s="21">
        <f>M5</f>
        <v>0</v>
      </c>
      <c r="N8" s="21">
        <f>N5</f>
        <v>19634.523537852503</v>
      </c>
      <c r="O8" s="21">
        <f>O5</f>
        <v>445.55</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0.12088378806570105</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3211.0471169735997</v>
      </c>
      <c r="C12" s="23">
        <f ca="1">C10*C8</f>
        <v>0</v>
      </c>
      <c r="D12" s="23">
        <f>D8*D10</f>
        <v>6129.8632990320002</v>
      </c>
      <c r="E12" s="23">
        <f>E10*E8</f>
        <v>597.86825501403393</v>
      </c>
      <c r="F12" s="23">
        <f>F10*F8</f>
        <v>16557.418086216105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5985</v>
      </c>
      <c r="C28" s="36"/>
      <c r="D28" s="228"/>
    </row>
    <row r="29" spans="1:7" s="15" customFormat="1">
      <c r="A29" s="230" t="s">
        <v>795</v>
      </c>
      <c r="B29" s="37">
        <f>SUM(HH_hh_gas_aantal,HH_rest_gas_aantal)</f>
        <v>2327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2327</v>
      </c>
      <c r="C32" s="167">
        <f>IF(ISERROR(B32/SUM($B$32,$B$34,$B$35,$B$36,$B$38,$B$39)*100),0,B32/SUM($B$32,$B$34,$B$35,$B$36,$B$38,$B$39)*100)</f>
        <v>39.387271496276242</v>
      </c>
      <c r="D32" s="233"/>
      <c r="G32" s="15"/>
    </row>
    <row r="33" spans="1:7">
      <c r="A33" s="171" t="s">
        <v>72</v>
      </c>
      <c r="B33" s="34" t="s">
        <v>111</v>
      </c>
      <c r="C33" s="167"/>
      <c r="D33" s="233"/>
      <c r="G33" s="15"/>
    </row>
    <row r="34" spans="1:7">
      <c r="A34" s="171" t="s">
        <v>73</v>
      </c>
      <c r="B34" s="33">
        <f>IF((($B$28-$B$32-$B$39-$B$77-$B$38)*C20/100)&lt;0,0,($B$28-$B$32-$B$39-$B$77-$B$38)*C20/100)</f>
        <v>124.39081967213119</v>
      </c>
      <c r="C34" s="167">
        <f>IF(ISERROR(B34/SUM($B$32,$B$34,$B$35,$B$36,$B$38,$B$39)*100),0,B34/SUM($B$32,$B$34,$B$35,$B$36,$B$38,$B$39)*100)</f>
        <v>2.1054641109026941</v>
      </c>
      <c r="D34" s="233"/>
      <c r="G34" s="15"/>
    </row>
    <row r="35" spans="1:7">
      <c r="A35" s="171" t="s">
        <v>74</v>
      </c>
      <c r="B35" s="33">
        <f>IF((($B$28-$B$32-$B$39-$B$77-$B$38)*C21/100)&lt;0,0,($B$28-$B$32-$B$39-$B$77-$B$38)*C21/100)</f>
        <v>789.10426229508232</v>
      </c>
      <c r="C35" s="167">
        <f>IF(ISERROR(B35/SUM($B$32,$B$34,$B$35,$B$36,$B$38,$B$39)*100),0,B35/SUM($B$32,$B$34,$B$35,$B$36,$B$38,$B$39)*100)</f>
        <v>13.356537953538968</v>
      </c>
      <c r="D35" s="233"/>
      <c r="G35" s="15"/>
    </row>
    <row r="36" spans="1:7">
      <c r="A36" s="171" t="s">
        <v>75</v>
      </c>
      <c r="B36" s="33">
        <f>IF((($B$28-$B$32-$B$39-$B$77-$B$38)*C22/100)&lt;0,0,($B$28-$B$32-$B$39-$B$77-$B$38)*C22/100)</f>
        <v>272.10491803278694</v>
      </c>
      <c r="C36" s="167">
        <f>IF(ISERROR(B36/SUM($B$32,$B$34,$B$35,$B$36,$B$38,$B$39)*100),0,B36/SUM($B$32,$B$34,$B$35,$B$36,$B$38,$B$39)*100)</f>
        <v>4.6057027425996431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2395.3999999999996</v>
      </c>
      <c r="C39" s="167">
        <f>IF(ISERROR(B39/SUM($B$32,$B$34,$B$35,$B$36,$B$38,$B$39)*100),0,B39/SUM($B$32,$B$34,$B$35,$B$36,$B$38,$B$39)*100)</f>
        <v>40.545023696682456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2327</v>
      </c>
      <c r="C44" s="34" t="s">
        <v>111</v>
      </c>
      <c r="D44" s="174"/>
    </row>
    <row r="45" spans="1:7">
      <c r="A45" s="171" t="s">
        <v>72</v>
      </c>
      <c r="B45" s="33" t="str">
        <f t="shared" si="0"/>
        <v>-</v>
      </c>
      <c r="C45" s="34" t="s">
        <v>111</v>
      </c>
      <c r="D45" s="174"/>
    </row>
    <row r="46" spans="1:7">
      <c r="A46" s="171" t="s">
        <v>73</v>
      </c>
      <c r="B46" s="33">
        <f t="shared" si="0"/>
        <v>124.39081967213119</v>
      </c>
      <c r="C46" s="34" t="s">
        <v>111</v>
      </c>
      <c r="D46" s="174"/>
    </row>
    <row r="47" spans="1:7">
      <c r="A47" s="171" t="s">
        <v>74</v>
      </c>
      <c r="B47" s="33">
        <f t="shared" si="0"/>
        <v>789.10426229508232</v>
      </c>
      <c r="C47" s="34" t="s">
        <v>111</v>
      </c>
      <c r="D47" s="174"/>
    </row>
    <row r="48" spans="1:7">
      <c r="A48" s="171" t="s">
        <v>75</v>
      </c>
      <c r="B48" s="33">
        <f t="shared" si="0"/>
        <v>272.10491803278694</v>
      </c>
      <c r="C48" s="33">
        <f>B48*10</f>
        <v>2721.0491803278692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2395.3999999999996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23898.633549999995</v>
      </c>
      <c r="C5" s="17">
        <f>IF(ISERROR('Eigen informatie GS &amp; warmtenet'!B58),0,'Eigen informatie GS &amp; warmtenet'!B58)</f>
        <v>0</v>
      </c>
      <c r="D5" s="30">
        <f>SUM(D6:D12)</f>
        <v>21164.013318800004</v>
      </c>
      <c r="E5" s="17">
        <f>SUM(E6:E12)</f>
        <v>301.48097144003231</v>
      </c>
      <c r="F5" s="17">
        <f>SUM(F6:F12)</f>
        <v>4072.0454111728218</v>
      </c>
      <c r="G5" s="18"/>
      <c r="H5" s="17"/>
      <c r="I5" s="17"/>
      <c r="J5" s="17">
        <f>SUM(J6:J12)</f>
        <v>3.4180390697798185E-2</v>
      </c>
      <c r="K5" s="17"/>
      <c r="L5" s="17"/>
      <c r="M5" s="17"/>
      <c r="N5" s="17">
        <f>SUM(N6:N12)</f>
        <v>1375.1909646153492</v>
      </c>
      <c r="O5" s="17">
        <f>B38*B39*B40</f>
        <v>1.5633333333333335</v>
      </c>
      <c r="P5" s="17">
        <f>B46*B47*B48/1000-B46*B47*B48/1000/B49</f>
        <v>38.133333333333333</v>
      </c>
      <c r="R5" s="32"/>
    </row>
    <row r="6" spans="1:18">
      <c r="A6" s="32" t="s">
        <v>54</v>
      </c>
      <c r="B6" s="37">
        <f>B26</f>
        <v>12368.449849999999</v>
      </c>
      <c r="C6" s="33"/>
      <c r="D6" s="37">
        <f>IF(ISERROR(TER_kantoor_gas_kWh/1000),0,TER_kantoor_gas_kWh/1000)*0.902</f>
        <v>5919.7803588000006</v>
      </c>
      <c r="E6" s="33">
        <f>$C$26*'E Balans VL '!I12/100/3.6*1000000</f>
        <v>7.75213299778265E-2</v>
      </c>
      <c r="F6" s="33">
        <f>$C$26*('E Balans VL '!L12+'E Balans VL '!N12)/100/3.6*1000000</f>
        <v>1858.6324050043077</v>
      </c>
      <c r="G6" s="34"/>
      <c r="H6" s="33"/>
      <c r="I6" s="33"/>
      <c r="J6" s="33">
        <f>$C$26*('E Balans VL '!D12+'E Balans VL '!E12)/100/3.6*1000000</f>
        <v>0</v>
      </c>
      <c r="K6" s="33"/>
      <c r="L6" s="33"/>
      <c r="M6" s="33"/>
      <c r="N6" s="33">
        <f>$C$26*'E Balans VL '!Y12/100/3.6*1000000</f>
        <v>11.828588457583256</v>
      </c>
      <c r="O6" s="33"/>
      <c r="P6" s="33"/>
      <c r="R6" s="32"/>
    </row>
    <row r="7" spans="1:18">
      <c r="A7" s="32" t="s">
        <v>53</v>
      </c>
      <c r="B7" s="37">
        <f t="shared" ref="B7:B12" si="0">B27</f>
        <v>1084.5530000000001</v>
      </c>
      <c r="C7" s="33"/>
      <c r="D7" s="37">
        <f>IF(ISERROR(TER_horeca_gas_kWh/1000),0,TER_horeca_gas_kWh/1000)*0.902</f>
        <v>880.71009400000003</v>
      </c>
      <c r="E7" s="33">
        <f>$C$27*'E Balans VL '!I9/100/3.6*1000000</f>
        <v>15.530618307956333</v>
      </c>
      <c r="F7" s="33">
        <f>$C$27*('E Balans VL '!L9+'E Balans VL '!N9)/100/3.6*1000000</f>
        <v>137.34017973600771</v>
      </c>
      <c r="G7" s="34"/>
      <c r="H7" s="33"/>
      <c r="I7" s="33"/>
      <c r="J7" s="33">
        <f>$C$27*('E Balans VL '!D9+'E Balans VL '!E9)/100/3.6*1000000</f>
        <v>0</v>
      </c>
      <c r="K7" s="33"/>
      <c r="L7" s="33"/>
      <c r="M7" s="33"/>
      <c r="N7" s="33">
        <f>$C$27*'E Balans VL '!Y9/100/3.6*1000000</f>
        <v>0.31178507515897735</v>
      </c>
      <c r="O7" s="33"/>
      <c r="P7" s="33"/>
      <c r="R7" s="32"/>
    </row>
    <row r="8" spans="1:18">
      <c r="A8" s="6" t="s">
        <v>52</v>
      </c>
      <c r="B8" s="37">
        <f t="shared" si="0"/>
        <v>7760.5506999999989</v>
      </c>
      <c r="C8" s="33"/>
      <c r="D8" s="37">
        <f>IF(ISERROR(TER_handel_gas_kWh/1000),0,TER_handel_gas_kWh/1000)*0.902</f>
        <v>7781.9599000000007</v>
      </c>
      <c r="E8" s="33">
        <f>$C$28*'E Balans VL '!I13/100/3.6*1000000</f>
        <v>281.4742169007622</v>
      </c>
      <c r="F8" s="33">
        <f>$C$28*('E Balans VL '!L13+'E Balans VL '!N13)/100/3.6*1000000</f>
        <v>1494.760645391834</v>
      </c>
      <c r="G8" s="34"/>
      <c r="H8" s="33"/>
      <c r="I8" s="33"/>
      <c r="J8" s="33">
        <f>$C$28*('E Balans VL '!D13+'E Balans VL '!E13)/100/3.6*1000000</f>
        <v>0</v>
      </c>
      <c r="K8" s="33"/>
      <c r="L8" s="33"/>
      <c r="M8" s="33"/>
      <c r="N8" s="33">
        <f>$C$28*'E Balans VL '!Y13/100/3.6*1000000</f>
        <v>10.750148342579665</v>
      </c>
      <c r="O8" s="33"/>
      <c r="P8" s="33"/>
      <c r="R8" s="32"/>
    </row>
    <row r="9" spans="1:18">
      <c r="A9" s="32" t="s">
        <v>51</v>
      </c>
      <c r="B9" s="37">
        <f t="shared" si="0"/>
        <v>947.19399999999996</v>
      </c>
      <c r="C9" s="33"/>
      <c r="D9" s="37">
        <f>IF(ISERROR(TER_gezond_gas_kWh/1000),0,TER_gezond_gas_kWh/1000)*0.902</f>
        <v>2975.0765220000003</v>
      </c>
      <c r="E9" s="33">
        <f>$C$29*'E Balans VL '!I10/100/3.6*1000000</f>
        <v>5.9303696251240386E-2</v>
      </c>
      <c r="F9" s="33">
        <f>$C$29*('E Balans VL '!L10+'E Balans VL '!N10)/100/3.6*1000000</f>
        <v>140.70855263107893</v>
      </c>
      <c r="G9" s="34"/>
      <c r="H9" s="33"/>
      <c r="I9" s="33"/>
      <c r="J9" s="33">
        <f>$C$29*('E Balans VL '!D10+'E Balans VL '!E10)/100/3.6*1000000</f>
        <v>0</v>
      </c>
      <c r="K9" s="33"/>
      <c r="L9" s="33"/>
      <c r="M9" s="33"/>
      <c r="N9" s="33">
        <f>$C$29*'E Balans VL '!Y10/100/3.6*1000000</f>
        <v>14.651288188408421</v>
      </c>
      <c r="O9" s="33"/>
      <c r="P9" s="33"/>
      <c r="R9" s="32"/>
    </row>
    <row r="10" spans="1:18">
      <c r="A10" s="32" t="s">
        <v>50</v>
      </c>
      <c r="B10" s="37">
        <f t="shared" si="0"/>
        <v>1574.692</v>
      </c>
      <c r="C10" s="33"/>
      <c r="D10" s="37">
        <f>IF(ISERROR(TER_ander_gas_kWh/1000),0,TER_ander_gas_kWh/1000)*0.902</f>
        <v>2663.2046099999998</v>
      </c>
      <c r="E10" s="33">
        <f>$C$30*'E Balans VL '!I14/100/3.6*1000000</f>
        <v>1.8769765940158765</v>
      </c>
      <c r="F10" s="33">
        <f>$C$30*('E Balans VL '!L14+'E Balans VL '!N14)/100/3.6*1000000</f>
        <v>412.00943250788316</v>
      </c>
      <c r="G10" s="34"/>
      <c r="H10" s="33"/>
      <c r="I10" s="33"/>
      <c r="J10" s="33">
        <f>$C$30*('E Balans VL '!D14+'E Balans VL '!E14)/100/3.6*1000000</f>
        <v>3.4180390697798185E-2</v>
      </c>
      <c r="K10" s="33"/>
      <c r="L10" s="33"/>
      <c r="M10" s="33"/>
      <c r="N10" s="33">
        <f>$C$30*'E Balans VL '!Y14/100/3.6*1000000</f>
        <v>1337.1899142291386</v>
      </c>
      <c r="O10" s="33"/>
      <c r="P10" s="33"/>
      <c r="R10" s="32"/>
    </row>
    <row r="11" spans="1:18">
      <c r="A11" s="32" t="s">
        <v>55</v>
      </c>
      <c r="B11" s="37">
        <f t="shared" si="0"/>
        <v>163.19399999999999</v>
      </c>
      <c r="C11" s="33"/>
      <c r="D11" s="37">
        <f>IF(ISERROR(TER_onderwijs_gas_kWh/1000),0,TER_onderwijs_gas_kWh/1000)*0.902</f>
        <v>943.28183400000012</v>
      </c>
      <c r="E11" s="33">
        <f>$C$31*'E Balans VL '!I11/100/3.6*1000000</f>
        <v>2.4623346110687754</v>
      </c>
      <c r="F11" s="33">
        <f>$C$31*('E Balans VL '!L11+'E Balans VL '!N11)/100/3.6*1000000</f>
        <v>28.594195901710403</v>
      </c>
      <c r="G11" s="34"/>
      <c r="H11" s="33"/>
      <c r="I11" s="33"/>
      <c r="J11" s="33">
        <f>$C$31*('E Balans VL '!D11+'E Balans VL '!E11)/100/3.6*1000000</f>
        <v>0</v>
      </c>
      <c r="K11" s="33"/>
      <c r="L11" s="33"/>
      <c r="M11" s="33"/>
      <c r="N11" s="33">
        <f>$C$31*'E Balans VL '!Y11/100/3.6*1000000</f>
        <v>0.45924032248034191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27543.633549999995</v>
      </c>
      <c r="C16" s="21">
        <f t="shared" ca="1" si="1"/>
        <v>4100.6250000000009</v>
      </c>
      <c r="D16" s="21">
        <f t="shared" ca="1" si="1"/>
        <v>21164.013318800004</v>
      </c>
      <c r="E16" s="21">
        <f t="shared" si="1"/>
        <v>301.48097144003231</v>
      </c>
      <c r="F16" s="21">
        <f t="shared" ca="1" si="1"/>
        <v>1793.9204111728218</v>
      </c>
      <c r="G16" s="21">
        <f t="shared" si="1"/>
        <v>0</v>
      </c>
      <c r="H16" s="21">
        <f t="shared" si="1"/>
        <v>0</v>
      </c>
      <c r="I16" s="21">
        <f t="shared" si="1"/>
        <v>0</v>
      </c>
      <c r="J16" s="21">
        <f t="shared" si="1"/>
        <v>3.4180390697798185E-2</v>
      </c>
      <c r="K16" s="21">
        <f t="shared" si="1"/>
        <v>0</v>
      </c>
      <c r="L16" s="21">
        <f t="shared" ca="1" si="1"/>
        <v>0</v>
      </c>
      <c r="M16" s="21">
        <f t="shared" si="1"/>
        <v>0</v>
      </c>
      <c r="N16" s="21">
        <f t="shared" ca="1" si="1"/>
        <v>1375.1909646153492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0.12088378806570105</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3329.5787606175322</v>
      </c>
      <c r="C20" s="23">
        <f t="shared" ref="C20:P20" ca="1" si="2">C16*C18</f>
        <v>322.01966911764708</v>
      </c>
      <c r="D20" s="23">
        <f t="shared" ca="1" si="2"/>
        <v>4275.130690397601</v>
      </c>
      <c r="E20" s="23">
        <f t="shared" si="2"/>
        <v>68.436180516887333</v>
      </c>
      <c r="F20" s="23">
        <f t="shared" ca="1" si="2"/>
        <v>478.97674978314342</v>
      </c>
      <c r="G20" s="23">
        <f t="shared" si="2"/>
        <v>0</v>
      </c>
      <c r="H20" s="23">
        <f t="shared" si="2"/>
        <v>0</v>
      </c>
      <c r="I20" s="23">
        <f t="shared" si="2"/>
        <v>0</v>
      </c>
      <c r="J20" s="23">
        <f t="shared" si="2"/>
        <v>1.2099858307020556E-2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12368.449849999999</v>
      </c>
      <c r="C26" s="39">
        <f>IF(ISERROR(B26*3.6/1000000/'E Balans VL '!Z12*100),0,B26*3.6/1000000/'E Balans VL '!Z12*100)</f>
        <v>0.26144943662179487</v>
      </c>
      <c r="D26" s="237" t="s">
        <v>754</v>
      </c>
      <c r="F26" s="6"/>
    </row>
    <row r="27" spans="1:18">
      <c r="A27" s="231" t="s">
        <v>53</v>
      </c>
      <c r="B27" s="33">
        <f>IF(ISERROR(TER_horeca_ele_kWh/1000),0,TER_horeca_ele_kWh/1000)</f>
        <v>1084.5530000000001</v>
      </c>
      <c r="C27" s="39">
        <f>IF(ISERROR(B27*3.6/1000000/'E Balans VL '!Z9*100),0,B27*3.6/1000000/'E Balans VL '!Z9*100)</f>
        <v>8.5494908756460042E-2</v>
      </c>
      <c r="D27" s="237" t="s">
        <v>754</v>
      </c>
      <c r="F27" s="6"/>
    </row>
    <row r="28" spans="1:18">
      <c r="A28" s="171" t="s">
        <v>52</v>
      </c>
      <c r="B28" s="33">
        <f>IF(ISERROR(TER_handel_ele_kWh/1000),0,TER_handel_ele_kWh/1000)</f>
        <v>7760.5506999999989</v>
      </c>
      <c r="C28" s="39">
        <f>IF(ISERROR(B28*3.6/1000000/'E Balans VL '!Z13*100),0,B28*3.6/1000000/'E Balans VL '!Z13*100)</f>
        <v>0.22524253745247469</v>
      </c>
      <c r="D28" s="237" t="s">
        <v>754</v>
      </c>
      <c r="F28" s="6"/>
    </row>
    <row r="29" spans="1:18">
      <c r="A29" s="231" t="s">
        <v>51</v>
      </c>
      <c r="B29" s="33">
        <f>IF(ISERROR(TER_gezond_ele_kWh/1000),0,TER_gezond_ele_kWh/1000)</f>
        <v>947.19399999999996</v>
      </c>
      <c r="C29" s="39">
        <f>IF(ISERROR(B29*3.6/1000000/'E Balans VL '!Z10*100),0,B29*3.6/1000000/'E Balans VL '!Z10*100)</f>
        <v>9.9755081536027954E-2</v>
      </c>
      <c r="D29" s="237" t="s">
        <v>754</v>
      </c>
      <c r="F29" s="6"/>
    </row>
    <row r="30" spans="1:18">
      <c r="A30" s="231" t="s">
        <v>50</v>
      </c>
      <c r="B30" s="33">
        <f>IF(ISERROR(TER_ander_ele_kWh/1000),0,TER_ander_ele_kWh/1000)</f>
        <v>1574.692</v>
      </c>
      <c r="C30" s="39">
        <f>IF(ISERROR(B30*3.6/1000000/'E Balans VL '!Z14*100),0,B30*3.6/1000000/'E Balans VL '!Z14*100)</f>
        <v>0.11614962394140105</v>
      </c>
      <c r="D30" s="237" t="s">
        <v>754</v>
      </c>
      <c r="F30" s="6"/>
    </row>
    <row r="31" spans="1:18">
      <c r="A31" s="231" t="s">
        <v>55</v>
      </c>
      <c r="B31" s="33">
        <f>IF(ISERROR(TER_onderwijs_ele_kWh/1000),0,TER_onderwijs_ele_kWh/1000)</f>
        <v>163.19399999999999</v>
      </c>
      <c r="C31" s="39">
        <f>IF(ISERROR(B31*3.6/1000000/'E Balans VL '!Z11*100),0,B31*3.6/1000000/'E Balans VL '!Z11*100)</f>
        <v>4.0528714657157822E-2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50101.400250000006</v>
      </c>
      <c r="C5" s="17">
        <f>IF(ISERROR('Eigen informatie GS &amp; warmtenet'!B59),0,'Eigen informatie GS &amp; warmtenet'!B59)</f>
        <v>0</v>
      </c>
      <c r="D5" s="30">
        <f>SUM(D6:D15)</f>
        <v>101364.1881274</v>
      </c>
      <c r="E5" s="17">
        <f>SUM(E6:E15)</f>
        <v>2036.4368288217174</v>
      </c>
      <c r="F5" s="17">
        <f>SUM(F6:F15)</f>
        <v>8179.9048127399756</v>
      </c>
      <c r="G5" s="18"/>
      <c r="H5" s="17"/>
      <c r="I5" s="17"/>
      <c r="J5" s="17">
        <f>SUM(J6:J15)</f>
        <v>6.8564837416898908E-2</v>
      </c>
      <c r="K5" s="17"/>
      <c r="L5" s="17"/>
      <c r="M5" s="17"/>
      <c r="N5" s="17">
        <f>SUM(N6:N15)</f>
        <v>5870.0789534970827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9229.2970000000005</v>
      </c>
      <c r="C8" s="33"/>
      <c r="D8" s="37">
        <f>IF( ISERROR(IND_metaal_Gas_kWH/1000),0,IND_metaal_Gas_kWH/1000)*0.902</f>
        <v>24193.086808</v>
      </c>
      <c r="E8" s="33">
        <f>C30*'E Balans VL '!I18/100/3.6*1000000</f>
        <v>84.854472175187453</v>
      </c>
      <c r="F8" s="33">
        <f>C30*'E Balans VL '!L18/100/3.6*1000000+C30*'E Balans VL '!N18/100/3.6*1000000</f>
        <v>865.4007841991463</v>
      </c>
      <c r="G8" s="34"/>
      <c r="H8" s="33"/>
      <c r="I8" s="33"/>
      <c r="J8" s="40">
        <f>C30*'E Balans VL '!D18/100/3.6*1000000+C30*'E Balans VL '!E18/100/3.6*1000000</f>
        <v>0</v>
      </c>
      <c r="K8" s="33"/>
      <c r="L8" s="33"/>
      <c r="M8" s="33"/>
      <c r="N8" s="33">
        <f>C30*'E Balans VL '!Y18/100/3.6*1000000</f>
        <v>131.67117376057254</v>
      </c>
      <c r="O8" s="33"/>
      <c r="P8" s="33"/>
      <c r="R8" s="32"/>
    </row>
    <row r="9" spans="1:18">
      <c r="A9" s="6" t="s">
        <v>33</v>
      </c>
      <c r="B9" s="37">
        <f t="shared" si="0"/>
        <v>6427.4602500000001</v>
      </c>
      <c r="C9" s="33"/>
      <c r="D9" s="37">
        <f>IF( ISERROR(IND_andere_gas_kWh/1000),0,IND_andere_gas_kWh/1000)*0.902</f>
        <v>11108.5464534</v>
      </c>
      <c r="E9" s="33">
        <f>C31*'E Balans VL '!I19/100/3.6*1000000</f>
        <v>1878.8717589673179</v>
      </c>
      <c r="F9" s="33">
        <f>C31*'E Balans VL '!L19/100/3.6*1000000+C31*'E Balans VL '!N19/100/3.6*1000000</f>
        <v>5164.9508249121345</v>
      </c>
      <c r="G9" s="34"/>
      <c r="H9" s="33"/>
      <c r="I9" s="33"/>
      <c r="J9" s="40">
        <f>C31*'E Balans VL '!D19/100/3.6*1000000+C31*'E Balans VL '!E19/100/3.6*1000000</f>
        <v>0</v>
      </c>
      <c r="K9" s="33"/>
      <c r="L9" s="33"/>
      <c r="M9" s="33"/>
      <c r="N9" s="33">
        <f>C31*'E Balans VL '!Y19/100/3.6*1000000</f>
        <v>2123.7325494409583</v>
      </c>
      <c r="O9" s="33"/>
      <c r="P9" s="33"/>
      <c r="R9" s="32"/>
    </row>
    <row r="10" spans="1:18">
      <c r="A10" s="6" t="s">
        <v>41</v>
      </c>
      <c r="B10" s="37">
        <f t="shared" si="0"/>
        <v>33564.26</v>
      </c>
      <c r="C10" s="33"/>
      <c r="D10" s="37">
        <f>IF( ISERROR(IND_voed_gas_kWh/1000),0,IND_voed_gas_kWh/1000)*0.902</f>
        <v>64970.400637999999</v>
      </c>
      <c r="E10" s="33">
        <f>C32*'E Balans VL '!I20/100/3.6*1000000</f>
        <v>71.005712450015082</v>
      </c>
      <c r="F10" s="33">
        <f>C32*'E Balans VL '!L20/100/3.6*1000000+C32*'E Balans VL '!N20/100/3.6*1000000</f>
        <v>2134.0499356862015</v>
      </c>
      <c r="G10" s="34"/>
      <c r="H10" s="33"/>
      <c r="I10" s="33"/>
      <c r="J10" s="40">
        <f>C32*'E Balans VL '!D20/100/3.6*1000000+C32*'E Balans VL '!E20/100/3.6*1000000</f>
        <v>0</v>
      </c>
      <c r="K10" s="33"/>
      <c r="L10" s="33"/>
      <c r="M10" s="33"/>
      <c r="N10" s="33">
        <f>C32*'E Balans VL '!Y20/100/3.6*1000000</f>
        <v>2316.2651602109077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443.32799999999997</v>
      </c>
      <c r="C13" s="33"/>
      <c r="D13" s="37">
        <f>IF( ISERROR(IND_papier_gas_kWh/1000),0,IND_papier_gas_kWh/1000)*0.902</f>
        <v>1092.1542280000001</v>
      </c>
      <c r="E13" s="33">
        <f>C35*'E Balans VL '!I23/100/3.6*1000000</f>
        <v>0.62898104367347552</v>
      </c>
      <c r="F13" s="33">
        <f>C35*'E Balans VL '!L23/100/3.6*1000000+C35*'E Balans VL '!N23/100/3.6*1000000</f>
        <v>10.823303500760177</v>
      </c>
      <c r="G13" s="34"/>
      <c r="H13" s="33"/>
      <c r="I13" s="33"/>
      <c r="J13" s="40">
        <f>C35*'E Balans VL '!D23/100/3.6*1000000+C35*'E Balans VL '!E23/100/3.6*1000000</f>
        <v>6.8564837416898908E-2</v>
      </c>
      <c r="K13" s="33"/>
      <c r="L13" s="33"/>
      <c r="M13" s="33"/>
      <c r="N13" s="33">
        <f>C35*'E Balans VL '!Y23/100/3.6*1000000</f>
        <v>1288.64955305423</v>
      </c>
      <c r="O13" s="33"/>
      <c r="P13" s="33"/>
      <c r="R13" s="32"/>
    </row>
    <row r="14" spans="1:18">
      <c r="A14" s="6" t="s">
        <v>34</v>
      </c>
      <c r="B14" s="37">
        <f t="shared" si="0"/>
        <v>437.05500000000001</v>
      </c>
      <c r="C14" s="33"/>
      <c r="D14" s="37">
        <f>IF( ISERROR(IND_chemie_gas_kWh/1000),0,IND_chemie_gas_kWh/1000)*0.902</f>
        <v>0</v>
      </c>
      <c r="E14" s="33">
        <f>C36*'E Balans VL '!I24/100/3.6*1000000</f>
        <v>1.0759041855232641</v>
      </c>
      <c r="F14" s="33">
        <f>C36*'E Balans VL '!L24/100/3.6*1000000+C36*'E Balans VL '!N24/100/3.6*1000000</f>
        <v>4.6799644417330706</v>
      </c>
      <c r="G14" s="34"/>
      <c r="H14" s="33"/>
      <c r="I14" s="33"/>
      <c r="J14" s="40">
        <f>C36*'E Balans VL '!D24/100/3.6*1000000+C36*'E Balans VL '!E24/100/3.6*1000000</f>
        <v>0</v>
      </c>
      <c r="K14" s="33"/>
      <c r="L14" s="33"/>
      <c r="M14" s="33"/>
      <c r="N14" s="33">
        <f>C36*'E Balans VL '!Y24/100/3.6*1000000</f>
        <v>9.7605170304147109</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50101.400250000006</v>
      </c>
      <c r="C18" s="21">
        <f>C5+C16</f>
        <v>0</v>
      </c>
      <c r="D18" s="21">
        <f>MAX((D5+D16),0)</f>
        <v>101364.1881274</v>
      </c>
      <c r="E18" s="21">
        <f>MAX((E5+E16),0)</f>
        <v>2036.4368288217174</v>
      </c>
      <c r="F18" s="21">
        <f>MAX((F5+F16),0)</f>
        <v>8179.9048127399756</v>
      </c>
      <c r="G18" s="21"/>
      <c r="H18" s="21"/>
      <c r="I18" s="21"/>
      <c r="J18" s="21">
        <f>MAX((J5+J16),0)</f>
        <v>6.8564837416898908E-2</v>
      </c>
      <c r="K18" s="21"/>
      <c r="L18" s="21">
        <f>MAX((L5+L16),0)</f>
        <v>0</v>
      </c>
      <c r="M18" s="21"/>
      <c r="N18" s="21">
        <f>MAX((N5+N16),0)</f>
        <v>5870.0789534970827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0.12088378806570105</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6056.4470496158619</v>
      </c>
      <c r="C22" s="23">
        <f ca="1">C18*C20</f>
        <v>0</v>
      </c>
      <c r="D22" s="23">
        <f>D18*D20</f>
        <v>20475.566001734802</v>
      </c>
      <c r="E22" s="23">
        <f>E18*E20</f>
        <v>462.27116014252988</v>
      </c>
      <c r="F22" s="23">
        <f>F18*F20</f>
        <v>2184.0345850015738</v>
      </c>
      <c r="G22" s="23"/>
      <c r="H22" s="23"/>
      <c r="I22" s="23"/>
      <c r="J22" s="23">
        <f>J18*J20</f>
        <v>2.4271952445582213E-2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9229.2970000000005</v>
      </c>
      <c r="C30" s="39">
        <f>IF(ISERROR(B30*3.6/1000000/'E Balans VL '!Z18*100),0,B30*3.6/1000000/'E Balans VL '!Z18*100)</f>
        <v>0.52304792645534393</v>
      </c>
      <c r="D30" s="237" t="s">
        <v>754</v>
      </c>
    </row>
    <row r="31" spans="1:18">
      <c r="A31" s="6" t="s">
        <v>33</v>
      </c>
      <c r="B31" s="37">
        <f>IF( ISERROR(IND_ander_ele_kWh/1000),0,IND_ander_ele_kWh/1000)</f>
        <v>6427.4602500000001</v>
      </c>
      <c r="C31" s="39">
        <f>IF(ISERROR(B31*3.6/1000000/'E Balans VL '!Z19*100),0,B31*3.6/1000000/'E Balans VL '!Z19*100)</f>
        <v>0.29152283346132918</v>
      </c>
      <c r="D31" s="237" t="s">
        <v>754</v>
      </c>
    </row>
    <row r="32" spans="1:18">
      <c r="A32" s="171" t="s">
        <v>41</v>
      </c>
      <c r="B32" s="37">
        <f>IF( ISERROR(IND_voed_ele_kWh/1000),0,IND_voed_ele_kWh/1000)</f>
        <v>33564.26</v>
      </c>
      <c r="C32" s="39">
        <f>IF(ISERROR(B32*3.6/1000000/'E Balans VL '!Z20*100),0,B32*3.6/1000000/'E Balans VL '!Z20*100)</f>
        <v>1.0382949306750588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443.32799999999997</v>
      </c>
      <c r="C35" s="39">
        <f>IF(ISERROR(B35*3.6/1000000/'E Balans VL '!Z22*100),0,B35*3.6/1000000/'E Balans VL '!Z22*100)</f>
        <v>7.9740875525698224E-2</v>
      </c>
      <c r="D35" s="237" t="s">
        <v>754</v>
      </c>
    </row>
    <row r="36" spans="1:5">
      <c r="A36" s="171" t="s">
        <v>34</v>
      </c>
      <c r="B36" s="37">
        <f>IF( ISERROR(IND_chemie_ele_kWh/1000),0,IND_chemie_ele_kWh/1000)</f>
        <v>437.05500000000001</v>
      </c>
      <c r="C36" s="39">
        <f>IF(ISERROR(B36*3.6/1000000/'E Balans VL '!Z24*100),0,B36*3.6/1000000/'E Balans VL '!Z24*100)</f>
        <v>1.3327566038617004E-2</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1051.9480000000001</v>
      </c>
      <c r="C5" s="17">
        <f>'Eigen informatie GS &amp; warmtenet'!B60</f>
        <v>0</v>
      </c>
      <c r="D5" s="30">
        <f>IF(ISERROR(SUM(LB_lb_gas_kWh,LB_rest_gas_kWh,onbekend_gas_kWh)/1000),0,SUM(LB_lb_gas_kWh,LB_rest_gas_kWh,onbekend_gas_kWh)/1000)*0.902</f>
        <v>1555.780424</v>
      </c>
      <c r="E5" s="17">
        <f>B17*'E Balans VL '!I25/3.6*1000000/100</f>
        <v>30.919964740043593</v>
      </c>
      <c r="F5" s="17">
        <f>B17*('E Balans VL '!L25/3.6*1000000+'E Balans VL '!N25/3.6*1000000)/100</f>
        <v>4382.3585237137049</v>
      </c>
      <c r="G5" s="18"/>
      <c r="H5" s="17"/>
      <c r="I5" s="17"/>
      <c r="J5" s="17">
        <f>('E Balans VL '!D25+'E Balans VL '!E25)/3.6*1000000*landbouw!B17/100</f>
        <v>152.40467435810521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1051.9480000000001</v>
      </c>
      <c r="C8" s="21">
        <f>C5+C6</f>
        <v>0</v>
      </c>
      <c r="D8" s="21">
        <f>MAX((D5+D6),0)</f>
        <v>1555.780424</v>
      </c>
      <c r="E8" s="21">
        <f>MAX((E5+E6),0)</f>
        <v>30.919964740043593</v>
      </c>
      <c r="F8" s="21">
        <f>MAX((F5+F6),0)</f>
        <v>4382.3585237137049</v>
      </c>
      <c r="G8" s="21"/>
      <c r="H8" s="21"/>
      <c r="I8" s="21"/>
      <c r="J8" s="21">
        <f>MAX((J5+J6),0)</f>
        <v>152.40467435810521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0.12088378806570105</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127.1634590881381</v>
      </c>
      <c r="C12" s="23">
        <f ca="1">C8*C10</f>
        <v>0</v>
      </c>
      <c r="D12" s="23">
        <f>D8*D10</f>
        <v>314.26764564800004</v>
      </c>
      <c r="E12" s="23">
        <f>E8*E10</f>
        <v>7.0188319959898955</v>
      </c>
      <c r="F12" s="23">
        <f>F8*F10</f>
        <v>1170.0897258315592</v>
      </c>
      <c r="G12" s="23"/>
      <c r="H12" s="23"/>
      <c r="I12" s="23"/>
      <c r="J12" s="23">
        <f>J8*J10</f>
        <v>53.951254722769242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0.14927472158619851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194.67764840355744</v>
      </c>
      <c r="C26" s="247">
        <f>B26*'GWP N2O_CH4'!B5</f>
        <v>4088.230616474706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104.18411130718512</v>
      </c>
      <c r="C27" s="247">
        <f>B27*'GWP N2O_CH4'!B5</f>
        <v>2187.8663374508874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2.9400283149203608</v>
      </c>
      <c r="C28" s="247">
        <f>B28*'GWP N2O_CH4'!B4</f>
        <v>911.40877762531181</v>
      </c>
      <c r="D28" s="50"/>
    </row>
    <row r="29" spans="1:4">
      <c r="A29" s="41" t="s">
        <v>277</v>
      </c>
      <c r="B29" s="247">
        <f>B34*'ha_N2O bodem landbouw'!B4</f>
        <v>11.78514358380847</v>
      </c>
      <c r="C29" s="247">
        <f>B29*'GWP N2O_CH4'!B4</f>
        <v>3653.3945109806255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2.6893291524135309E-3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6.0137397255679843E-4</v>
      </c>
      <c r="C5" s="463" t="s">
        <v>211</v>
      </c>
      <c r="D5" s="448">
        <f>SUM(D6:D11)</f>
        <v>1.9783471613579037E-3</v>
      </c>
      <c r="E5" s="448">
        <f>SUM(E6:E11)</f>
        <v>3.1735636800709916E-3</v>
      </c>
      <c r="F5" s="461" t="s">
        <v>211</v>
      </c>
      <c r="G5" s="448">
        <f>SUM(G6:G11)</f>
        <v>1.167165050732083</v>
      </c>
      <c r="H5" s="448">
        <f>SUM(H6:H11)</f>
        <v>0.231327572542955</v>
      </c>
      <c r="I5" s="463" t="s">
        <v>211</v>
      </c>
      <c r="J5" s="463" t="s">
        <v>211</v>
      </c>
      <c r="K5" s="463" t="s">
        <v>211</v>
      </c>
      <c r="L5" s="463" t="s">
        <v>211</v>
      </c>
      <c r="M5" s="448">
        <f>SUM(M6:M11)</f>
        <v>7.5058231451092028E-2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8.2796652572037624E-5</v>
      </c>
      <c r="C6" s="449"/>
      <c r="D6" s="962">
        <f>vkm_2011_GW_PW*SUMIFS(TableVerdeelsleutelVkm[CNG],TableVerdeelsleutelVkm[Voertuigtype],"Lichte voertuigen")*SUMIFS(TableECFTransport[EnergieConsumptieFactor (PJ per km)],TableECFTransport[Index],CONCATENATE($A6,"_CNG_CNG"))</f>
        <v>2.4834243676008955E-4</v>
      </c>
      <c r="E6" s="962">
        <f>vkm_2011_GW_PW*SUMIFS(TableVerdeelsleutelVkm[LPG],TableVerdeelsleutelVkm[Voertuigtype],"Lichte voertuigen")*SUMIFS(TableECFTransport[EnergieConsumptieFactor (PJ per km)],TableECFTransport[Index],CONCATENATE($A6,"_LPG_LPG"))</f>
        <v>3.3927144124729509E-4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8.7720042261956996E-2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2.8241154200160427E-2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5.9631954390840297E-3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6.6839527040121619E-3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2.0367766581655098E-6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3.9058800195344964E-4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4.6893391557963516E-5</v>
      </c>
      <c r="C8" s="449"/>
      <c r="D8" s="451">
        <f>vkm_2011_NGW_PW*SUMIFS(TableVerdeelsleutelVkm[CNG],TableVerdeelsleutelVkm[Voertuigtype],"Lichte voertuigen")*SUMIFS(TableECFTransport[EnergieConsumptieFactor (PJ per km)],TableECFTransport[Index],CONCATENATE($A8,"_CNG_CNG"))</f>
        <v>2.5008307248897154E-4</v>
      </c>
      <c r="E8" s="451">
        <f>vkm_2011_NGW_PW*SUMIFS(TableVerdeelsleutelVkm[LPG],TableVerdeelsleutelVkm[Voertuigtype],"Lichte voertuigen")*SUMIFS(TableECFTransport[EnergieConsumptieFactor (PJ per km)],TableECFTransport[Index],CONCATENATE($A8,"_LPG_LPG"))</f>
        <v>3.1640611237189231E-4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7.6236508461310443E-2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2.7636573174562428E-2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5.2743016440291689E-3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1.0533184501918789E-3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3.0216919276439662E-7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6.1551874745038334E-5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4.7168392842679728E-4</v>
      </c>
      <c r="C10" s="449"/>
      <c r="D10" s="451">
        <f>vkm_2011_SW_PW*SUMIFS(TableVerdeelsleutelVkm[CNG],TableVerdeelsleutelVkm[Voertuigtype],"Lichte voertuigen")*SUMIFS(TableECFTransport[EnergieConsumptieFactor (PJ per km)],TableECFTransport[Index],CONCATENATE($A10,"_CNG_CNG"))</f>
        <v>1.4799216521088425E-3</v>
      </c>
      <c r="E10" s="451">
        <f>vkm_2011_SW_PW*SUMIFS(TableVerdeelsleutelVkm[LPG],TableVerdeelsleutelVkm[Voertuigtype],"Lichte voertuigen")*SUMIFS(TableECFTransport[EnergieConsumptieFactor (PJ per km)],TableECFTransport[Index],CONCATENATE($A10,"_LPG_LPG"))</f>
        <v>2.5178861264518043E-3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0.5803784569156627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0.17531091124229589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3.9111651389769901E-2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0.41509277193894872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1.3659498008533553E-4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2.4256943101510435E-2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167.0483257102218</v>
      </c>
      <c r="C14" s="21"/>
      <c r="D14" s="21">
        <f t="shared" ref="D14:M14" si="0">((D5)*10^9/3600)+D12</f>
        <v>549.54087815497326</v>
      </c>
      <c r="E14" s="21">
        <f t="shared" si="0"/>
        <v>881.54546668638659</v>
      </c>
      <c r="F14" s="21"/>
      <c r="G14" s="21">
        <f t="shared" si="0"/>
        <v>324212.51409224531</v>
      </c>
      <c r="H14" s="21">
        <f t="shared" si="0"/>
        <v>64257.659039709717</v>
      </c>
      <c r="I14" s="21"/>
      <c r="J14" s="21"/>
      <c r="K14" s="21"/>
      <c r="L14" s="21"/>
      <c r="M14" s="21">
        <f t="shared" si="0"/>
        <v>20849.508736414453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0.12088378806570105</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20.193434401884652</v>
      </c>
      <c r="C18" s="23"/>
      <c r="D18" s="23">
        <f t="shared" ref="D18:M18" si="1">D14*D16</f>
        <v>111.00725738730461</v>
      </c>
      <c r="E18" s="23">
        <f t="shared" si="1"/>
        <v>200.11082093780976</v>
      </c>
      <c r="F18" s="23"/>
      <c r="G18" s="23">
        <f t="shared" si="1"/>
        <v>86564.741262629497</v>
      </c>
      <c r="H18" s="23">
        <f t="shared" si="1"/>
        <v>16000.15710088772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7.0588722279406541E-3</v>
      </c>
      <c r="H50" s="321">
        <f t="shared" si="2"/>
        <v>0</v>
      </c>
      <c r="I50" s="321">
        <f t="shared" si="2"/>
        <v>0</v>
      </c>
      <c r="J50" s="321">
        <f t="shared" si="2"/>
        <v>0</v>
      </c>
      <c r="K50" s="321">
        <f t="shared" si="2"/>
        <v>0</v>
      </c>
      <c r="L50" s="321">
        <f t="shared" si="2"/>
        <v>0</v>
      </c>
      <c r="M50" s="321">
        <f t="shared" si="2"/>
        <v>4.0091278061639001E-4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7.0588722279406541E-3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4.0091278061639001E-4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1960.7978410946262</v>
      </c>
      <c r="H54" s="21">
        <f t="shared" si="3"/>
        <v>0</v>
      </c>
      <c r="I54" s="21">
        <f t="shared" si="3"/>
        <v>0</v>
      </c>
      <c r="J54" s="21">
        <f t="shared" si="3"/>
        <v>0</v>
      </c>
      <c r="K54" s="21">
        <f t="shared" si="3"/>
        <v>0</v>
      </c>
      <c r="L54" s="21">
        <f t="shared" si="3"/>
        <v>0</v>
      </c>
      <c r="M54" s="21">
        <f t="shared" si="3"/>
        <v>111.36466128233056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0.12088378806570105</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523.53302357226517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35136.012349987155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10764.025233079579</v>
      </c>
      <c r="C6" s="1204"/>
      <c r="D6" s="1189"/>
      <c r="E6" s="1189"/>
      <c r="F6" s="1207"/>
      <c r="G6" s="1210"/>
      <c r="H6" s="1201"/>
      <c r="I6" s="1189"/>
      <c r="J6" s="1189"/>
      <c r="K6" s="1189"/>
      <c r="L6" s="1193"/>
      <c r="M6" s="575"/>
      <c r="N6" s="1167"/>
      <c r="O6" s="1168"/>
      <c r="Q6" s="573"/>
      <c r="R6" s="1155"/>
      <c r="S6" s="1155"/>
    </row>
    <row r="7" spans="1:19" s="563" customFormat="1">
      <c r="A7" s="576" t="s">
        <v>252</v>
      </c>
      <c r="B7" s="577">
        <f>N57</f>
        <v>3645.0000000000005</v>
      </c>
      <c r="C7" s="578">
        <f>B100</f>
        <v>0</v>
      </c>
      <c r="D7" s="579"/>
      <c r="E7" s="579">
        <f>E100</f>
        <v>1072.0588235294117</v>
      </c>
      <c r="F7" s="580"/>
      <c r="G7" s="581"/>
      <c r="H7" s="579">
        <f>I100</f>
        <v>0</v>
      </c>
      <c r="I7" s="579">
        <f>G100+F100</f>
        <v>3216.1764705882347</v>
      </c>
      <c r="J7" s="579">
        <f>H100+D100+C100</f>
        <v>0</v>
      </c>
      <c r="K7" s="579"/>
      <c r="L7" s="582"/>
      <c r="M7" s="583">
        <f>C7*$C$11+D7*$D$11+E7*$E$11+F7*$F$11+G7*$G$11+H7*$H$11+I7*$I$11+J7*$J$11</f>
        <v>286.23970588235295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49545.037583066733</v>
      </c>
      <c r="C9" s="594">
        <f t="shared" ref="C9:L9" si="0">SUM(C7:C8)</f>
        <v>0</v>
      </c>
      <c r="D9" s="594">
        <f t="shared" si="0"/>
        <v>0</v>
      </c>
      <c r="E9" s="594">
        <f t="shared" si="0"/>
        <v>1072.0588235294117</v>
      </c>
      <c r="F9" s="594">
        <f t="shared" si="0"/>
        <v>0</v>
      </c>
      <c r="G9" s="594">
        <f t="shared" si="0"/>
        <v>0</v>
      </c>
      <c r="H9" s="594">
        <f t="shared" si="0"/>
        <v>0</v>
      </c>
      <c r="I9" s="594">
        <f t="shared" si="0"/>
        <v>3216.1764705882347</v>
      </c>
      <c r="J9" s="594">
        <f t="shared" si="0"/>
        <v>0</v>
      </c>
      <c r="K9" s="594">
        <f t="shared" si="0"/>
        <v>0</v>
      </c>
      <c r="L9" s="594">
        <f t="shared" si="0"/>
        <v>0</v>
      </c>
      <c r="M9" s="595">
        <f>SUM(M4:M8)</f>
        <v>286.23970588235295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4100.6250000000009</v>
      </c>
      <c r="C16" s="610">
        <f>B101</f>
        <v>0</v>
      </c>
      <c r="D16" s="611"/>
      <c r="E16" s="611">
        <f>E101</f>
        <v>1206.0661764705883</v>
      </c>
      <c r="F16" s="612"/>
      <c r="G16" s="613"/>
      <c r="H16" s="610">
        <f>I101</f>
        <v>0</v>
      </c>
      <c r="I16" s="611">
        <f>G101+F101</f>
        <v>3618.1985294117649</v>
      </c>
      <c r="J16" s="611">
        <f>H101+D101+C101</f>
        <v>0</v>
      </c>
      <c r="K16" s="611"/>
      <c r="L16" s="614"/>
      <c r="M16" s="615">
        <f>C16*$C$21+E16*$E$21+H16*$H$21+I16*$I$21+J16*$J$21+D16*$D$21+F16*$F$21+G16*$G$21+K16*$K$21+L16*$L$21</f>
        <v>322.01966911764708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4100.6250000000009</v>
      </c>
      <c r="C19" s="593">
        <f>SUM(C16:C18)</f>
        <v>0</v>
      </c>
      <c r="D19" s="593">
        <f t="shared" ref="D19:M19" si="1">SUM(D16:D18)</f>
        <v>0</v>
      </c>
      <c r="E19" s="593">
        <f t="shared" si="1"/>
        <v>1206.0661764705883</v>
      </c>
      <c r="F19" s="593">
        <f t="shared" si="1"/>
        <v>0</v>
      </c>
      <c r="G19" s="593">
        <f t="shared" si="1"/>
        <v>0</v>
      </c>
      <c r="H19" s="593">
        <f t="shared" si="1"/>
        <v>0</v>
      </c>
      <c r="I19" s="593">
        <f t="shared" si="1"/>
        <v>3618.1985294117649</v>
      </c>
      <c r="J19" s="593">
        <f t="shared" si="1"/>
        <v>0</v>
      </c>
      <c r="K19" s="593">
        <f t="shared" si="1"/>
        <v>0</v>
      </c>
      <c r="L19" s="593">
        <f t="shared" si="1"/>
        <v>0</v>
      </c>
      <c r="M19" s="620">
        <f t="shared" si="1"/>
        <v>322.01966911764708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71037</v>
      </c>
      <c r="C27" s="851">
        <v>3560</v>
      </c>
      <c r="D27" s="672" t="s">
        <v>809</v>
      </c>
      <c r="E27" s="671" t="s">
        <v>810</v>
      </c>
      <c r="F27" s="671" t="s">
        <v>811</v>
      </c>
      <c r="G27" s="671" t="s">
        <v>812</v>
      </c>
      <c r="H27" s="671" t="s">
        <v>813</v>
      </c>
      <c r="I27" s="671" t="s">
        <v>810</v>
      </c>
      <c r="J27" s="850">
        <v>40575</v>
      </c>
      <c r="K27" s="850">
        <v>40616</v>
      </c>
      <c r="L27" s="671" t="s">
        <v>814</v>
      </c>
      <c r="M27" s="671">
        <v>810</v>
      </c>
      <c r="N27" s="671">
        <v>3645.0000000000005</v>
      </c>
      <c r="O27" s="671">
        <v>4100.6250000000009</v>
      </c>
      <c r="P27" s="671">
        <v>0</v>
      </c>
      <c r="Q27" s="671">
        <v>0</v>
      </c>
      <c r="R27" s="671">
        <v>0</v>
      </c>
      <c r="S27" s="671">
        <v>2278.125</v>
      </c>
      <c r="T27" s="671">
        <v>6834.375</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810</v>
      </c>
      <c r="N57" s="629">
        <f>SUM(N27:N56)</f>
        <v>3645.0000000000005</v>
      </c>
      <c r="O57" s="629">
        <f t="shared" ref="O57:W57" si="2">SUM(O27:O56)</f>
        <v>4100.6250000000009</v>
      </c>
      <c r="P57" s="629">
        <f t="shared" si="2"/>
        <v>0</v>
      </c>
      <c r="Q57" s="629">
        <f t="shared" si="2"/>
        <v>0</v>
      </c>
      <c r="R57" s="629">
        <f t="shared" si="2"/>
        <v>0</v>
      </c>
      <c r="S57" s="629">
        <f t="shared" si="2"/>
        <v>2278.125</v>
      </c>
      <c r="T57" s="629">
        <f t="shared" si="2"/>
        <v>6834.375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810</v>
      </c>
      <c r="N59" s="629">
        <f ca="1">SUMIF($Z$27:AB56,"tertiair",N27:N56)</f>
        <v>3645.0000000000005</v>
      </c>
      <c r="O59" s="629">
        <f ca="1">SUMIF($Z$27:AC56,"tertiair",O27:O56)</f>
        <v>4100.6250000000009</v>
      </c>
      <c r="P59" s="629">
        <f ca="1">SUMIF($Z$27:AD56,"tertiair",P27:P56)</f>
        <v>0</v>
      </c>
      <c r="Q59" s="629">
        <f ca="1">SUMIF($Z$27:AE56,"tertiair",Q27:Q56)</f>
        <v>0</v>
      </c>
      <c r="R59" s="629">
        <f ca="1">SUMIF($Z$27:AF56,"tertiair",R27:R56)</f>
        <v>0</v>
      </c>
      <c r="S59" s="629">
        <f ca="1">SUMIF($Z$27:AG56,"tertiair",S27:S56)</f>
        <v>2278.125</v>
      </c>
      <c r="T59" s="629">
        <f ca="1">SUMIF($Z$27:AH56,"tertiair",T27:T56)</f>
        <v>6834.375</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0.47058823529411759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1072.0588235294117</v>
      </c>
      <c r="F100" s="663">
        <f t="shared" si="9"/>
        <v>3216.1764705882347</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1206.0661764705883</v>
      </c>
      <c r="F101" s="666">
        <f t="shared" si="10"/>
        <v>3618.1985294117649</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28624.872549999996</v>
      </c>
      <c r="D10" s="718">
        <f ca="1">tertiair!C16</f>
        <v>4100.6250000000009</v>
      </c>
      <c r="E10" s="718">
        <f ca="1">tertiair!D16</f>
        <v>21164.013318800004</v>
      </c>
      <c r="F10" s="718">
        <f>tertiair!E16</f>
        <v>301.48097144003231</v>
      </c>
      <c r="G10" s="718">
        <f ca="1">tertiair!F16</f>
        <v>1793.9204111728218</v>
      </c>
      <c r="H10" s="718">
        <f>tertiair!G16</f>
        <v>0</v>
      </c>
      <c r="I10" s="718">
        <f>tertiair!H16</f>
        <v>0</v>
      </c>
      <c r="J10" s="718">
        <f>tertiair!I16</f>
        <v>0</v>
      </c>
      <c r="K10" s="718">
        <f>tertiair!J16</f>
        <v>3.4180390697798185E-2</v>
      </c>
      <c r="L10" s="718">
        <f>tertiair!K16</f>
        <v>0</v>
      </c>
      <c r="M10" s="718">
        <f ca="1">tertiair!L16</f>
        <v>0</v>
      </c>
      <c r="N10" s="718">
        <f>tertiair!M16</f>
        <v>0</v>
      </c>
      <c r="O10" s="718">
        <f ca="1">tertiair!N16</f>
        <v>1375.1909646153492</v>
      </c>
      <c r="P10" s="718">
        <f>tertiair!O16</f>
        <v>1.5633333333333335</v>
      </c>
      <c r="Q10" s="719">
        <f>tertiair!P16</f>
        <v>38.133333333333333</v>
      </c>
      <c r="R10" s="721">
        <f ca="1">SUM(C10:Q10)</f>
        <v>57399.834063085575</v>
      </c>
      <c r="S10" s="67"/>
    </row>
    <row r="11" spans="1:19" s="474" customFormat="1">
      <c r="A11" s="870" t="s">
        <v>225</v>
      </c>
      <c r="B11" s="875"/>
      <c r="C11" s="718">
        <f>huishoudens!B8</f>
        <v>26563.091448030871</v>
      </c>
      <c r="D11" s="718">
        <f>huishoudens!C8</f>
        <v>0</v>
      </c>
      <c r="E11" s="718">
        <f>huishoudens!D8</f>
        <v>30345.857916000001</v>
      </c>
      <c r="F11" s="718">
        <f>huishoudens!E8</f>
        <v>2633.7808590926602</v>
      </c>
      <c r="G11" s="718">
        <f>huishoudens!F8</f>
        <v>62012.801821034103</v>
      </c>
      <c r="H11" s="718">
        <f>huishoudens!G8</f>
        <v>0</v>
      </c>
      <c r="I11" s="718">
        <f>huishoudens!H8</f>
        <v>0</v>
      </c>
      <c r="J11" s="718">
        <f>huishoudens!I8</f>
        <v>0</v>
      </c>
      <c r="K11" s="718">
        <f>huishoudens!J8</f>
        <v>0</v>
      </c>
      <c r="L11" s="718">
        <f>huishoudens!K8</f>
        <v>0</v>
      </c>
      <c r="M11" s="718">
        <f>huishoudens!L8</f>
        <v>0</v>
      </c>
      <c r="N11" s="718">
        <f>huishoudens!M8</f>
        <v>0</v>
      </c>
      <c r="O11" s="718">
        <f>huishoudens!N8</f>
        <v>19634.523537852503</v>
      </c>
      <c r="P11" s="718">
        <f>huishoudens!O8</f>
        <v>445.55</v>
      </c>
      <c r="Q11" s="719">
        <f>huishoudens!P8</f>
        <v>1468.1333333333332</v>
      </c>
      <c r="R11" s="721">
        <f>SUM(C11:Q11)</f>
        <v>143103.73891534345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50101.400250000006</v>
      </c>
      <c r="D13" s="718">
        <f>industrie!C18</f>
        <v>0</v>
      </c>
      <c r="E13" s="718">
        <f>industrie!D18</f>
        <v>101364.1881274</v>
      </c>
      <c r="F13" s="718">
        <f>industrie!E18</f>
        <v>2036.4368288217174</v>
      </c>
      <c r="G13" s="718">
        <f>industrie!F18</f>
        <v>8179.9048127399756</v>
      </c>
      <c r="H13" s="718">
        <f>industrie!G18</f>
        <v>0</v>
      </c>
      <c r="I13" s="718">
        <f>industrie!H18</f>
        <v>0</v>
      </c>
      <c r="J13" s="718">
        <f>industrie!I18</f>
        <v>0</v>
      </c>
      <c r="K13" s="718">
        <f>industrie!J18</f>
        <v>6.8564837416898908E-2</v>
      </c>
      <c r="L13" s="718">
        <f>industrie!K18</f>
        <v>0</v>
      </c>
      <c r="M13" s="718">
        <f>industrie!L18</f>
        <v>0</v>
      </c>
      <c r="N13" s="718">
        <f>industrie!M18</f>
        <v>0</v>
      </c>
      <c r="O13" s="718">
        <f>industrie!N18</f>
        <v>5870.0789534970827</v>
      </c>
      <c r="P13" s="718">
        <f>industrie!O18</f>
        <v>0</v>
      </c>
      <c r="Q13" s="719">
        <f>industrie!P18</f>
        <v>0</v>
      </c>
      <c r="R13" s="721">
        <f>SUM(C13:Q13)</f>
        <v>167552.07753729622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105289.36424803088</v>
      </c>
      <c r="D15" s="723">
        <f t="shared" ref="D15:Q15" ca="1" si="0">SUM(D9:D14)</f>
        <v>4100.6250000000009</v>
      </c>
      <c r="E15" s="723">
        <f t="shared" ca="1" si="0"/>
        <v>152874.0593622</v>
      </c>
      <c r="F15" s="723">
        <f t="shared" si="0"/>
        <v>4971.6986593544098</v>
      </c>
      <c r="G15" s="723">
        <f t="shared" ca="1" si="0"/>
        <v>71986.627044946901</v>
      </c>
      <c r="H15" s="723">
        <f t="shared" si="0"/>
        <v>0</v>
      </c>
      <c r="I15" s="723">
        <f t="shared" si="0"/>
        <v>0</v>
      </c>
      <c r="J15" s="723">
        <f t="shared" si="0"/>
        <v>0</v>
      </c>
      <c r="K15" s="723">
        <f t="shared" si="0"/>
        <v>0.10274522811469709</v>
      </c>
      <c r="L15" s="723">
        <f t="shared" si="0"/>
        <v>0</v>
      </c>
      <c r="M15" s="723">
        <f t="shared" ca="1" si="0"/>
        <v>0</v>
      </c>
      <c r="N15" s="723">
        <f t="shared" si="0"/>
        <v>0</v>
      </c>
      <c r="O15" s="723">
        <f t="shared" ca="1" si="0"/>
        <v>26879.793455964937</v>
      </c>
      <c r="P15" s="723">
        <f t="shared" si="0"/>
        <v>447.11333333333334</v>
      </c>
      <c r="Q15" s="724">
        <f t="shared" si="0"/>
        <v>1506.2666666666667</v>
      </c>
      <c r="R15" s="725">
        <f ca="1">SUM(R9:R14)</f>
        <v>368055.65051572525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1960.7978410946262</v>
      </c>
      <c r="I18" s="718">
        <f>transport!H54</f>
        <v>0</v>
      </c>
      <c r="J18" s="718">
        <f>transport!I54</f>
        <v>0</v>
      </c>
      <c r="K18" s="718">
        <f>transport!J54</f>
        <v>0</v>
      </c>
      <c r="L18" s="718">
        <f>transport!K54</f>
        <v>0</v>
      </c>
      <c r="M18" s="718">
        <f>transport!L54</f>
        <v>0</v>
      </c>
      <c r="N18" s="718">
        <f>transport!M54</f>
        <v>111.36466128233056</v>
      </c>
      <c r="O18" s="718">
        <f>transport!N54</f>
        <v>0</v>
      </c>
      <c r="P18" s="718">
        <f>transport!O54</f>
        <v>0</v>
      </c>
      <c r="Q18" s="719">
        <f>transport!P54</f>
        <v>0</v>
      </c>
      <c r="R18" s="721">
        <f>SUM(C18:Q18)</f>
        <v>2072.1625023769566</v>
      </c>
      <c r="S18" s="67"/>
    </row>
    <row r="19" spans="1:19" s="474" customFormat="1" ht="15" thickBot="1">
      <c r="A19" s="870" t="s">
        <v>307</v>
      </c>
      <c r="B19" s="875"/>
      <c r="C19" s="727">
        <f>transport!B14</f>
        <v>167.0483257102218</v>
      </c>
      <c r="D19" s="727">
        <f>transport!C14</f>
        <v>0</v>
      </c>
      <c r="E19" s="727">
        <f>transport!D14</f>
        <v>549.54087815497326</v>
      </c>
      <c r="F19" s="727">
        <f>transport!E14</f>
        <v>881.54546668638659</v>
      </c>
      <c r="G19" s="727">
        <f>transport!F14</f>
        <v>0</v>
      </c>
      <c r="H19" s="727">
        <f>transport!G14</f>
        <v>324212.51409224531</v>
      </c>
      <c r="I19" s="727">
        <f>transport!H14</f>
        <v>64257.659039709717</v>
      </c>
      <c r="J19" s="727">
        <f>transport!I14</f>
        <v>0</v>
      </c>
      <c r="K19" s="727">
        <f>transport!J14</f>
        <v>0</v>
      </c>
      <c r="L19" s="727">
        <f>transport!K14</f>
        <v>0</v>
      </c>
      <c r="M19" s="727">
        <f>transport!L14</f>
        <v>0</v>
      </c>
      <c r="N19" s="727">
        <f>transport!M14</f>
        <v>20849.508736414453</v>
      </c>
      <c r="O19" s="727">
        <f>transport!N14</f>
        <v>0</v>
      </c>
      <c r="P19" s="727">
        <f>transport!O14</f>
        <v>0</v>
      </c>
      <c r="Q19" s="728">
        <f>transport!P14</f>
        <v>0</v>
      </c>
      <c r="R19" s="729">
        <f>SUM(C19:Q19)</f>
        <v>410917.81653892103</v>
      </c>
      <c r="S19" s="67"/>
    </row>
    <row r="20" spans="1:19" s="474" customFormat="1" ht="15.75" thickBot="1">
      <c r="A20" s="730" t="s">
        <v>230</v>
      </c>
      <c r="B20" s="878"/>
      <c r="C20" s="873">
        <f>SUM(C17:C19)</f>
        <v>167.0483257102218</v>
      </c>
      <c r="D20" s="731">
        <f t="shared" ref="D20:R20" si="1">SUM(D17:D19)</f>
        <v>0</v>
      </c>
      <c r="E20" s="731">
        <f t="shared" si="1"/>
        <v>549.54087815497326</v>
      </c>
      <c r="F20" s="731">
        <f t="shared" si="1"/>
        <v>881.54546668638659</v>
      </c>
      <c r="G20" s="731">
        <f t="shared" si="1"/>
        <v>0</v>
      </c>
      <c r="H20" s="731">
        <f t="shared" si="1"/>
        <v>326173.31193333992</v>
      </c>
      <c r="I20" s="731">
        <f t="shared" si="1"/>
        <v>64257.659039709717</v>
      </c>
      <c r="J20" s="731">
        <f t="shared" si="1"/>
        <v>0</v>
      </c>
      <c r="K20" s="731">
        <f t="shared" si="1"/>
        <v>0</v>
      </c>
      <c r="L20" s="731">
        <f t="shared" si="1"/>
        <v>0</v>
      </c>
      <c r="M20" s="731">
        <f t="shared" si="1"/>
        <v>0</v>
      </c>
      <c r="N20" s="731">
        <f t="shared" si="1"/>
        <v>20960.873397696785</v>
      </c>
      <c r="O20" s="731">
        <f t="shared" si="1"/>
        <v>0</v>
      </c>
      <c r="P20" s="731">
        <f t="shared" si="1"/>
        <v>0</v>
      </c>
      <c r="Q20" s="732">
        <f t="shared" si="1"/>
        <v>0</v>
      </c>
      <c r="R20" s="733">
        <f t="shared" si="1"/>
        <v>412989.97904129798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1051.9480000000001</v>
      </c>
      <c r="D22" s="727">
        <f>+landbouw!C8</f>
        <v>0</v>
      </c>
      <c r="E22" s="727">
        <f>+landbouw!D8</f>
        <v>1555.780424</v>
      </c>
      <c r="F22" s="727">
        <f>+landbouw!E8</f>
        <v>30.919964740043593</v>
      </c>
      <c r="G22" s="727">
        <f>+landbouw!F8</f>
        <v>4382.3585237137049</v>
      </c>
      <c r="H22" s="727">
        <f>+landbouw!G8</f>
        <v>0</v>
      </c>
      <c r="I22" s="727">
        <f>+landbouw!H8</f>
        <v>0</v>
      </c>
      <c r="J22" s="727">
        <f>+landbouw!I8</f>
        <v>0</v>
      </c>
      <c r="K22" s="727">
        <f>+landbouw!J8</f>
        <v>152.40467435810521</v>
      </c>
      <c r="L22" s="727">
        <f>+landbouw!K8</f>
        <v>0</v>
      </c>
      <c r="M22" s="727">
        <f>+landbouw!L8</f>
        <v>0</v>
      </c>
      <c r="N22" s="727">
        <f>+landbouw!M8</f>
        <v>0</v>
      </c>
      <c r="O22" s="727">
        <f>+landbouw!N8</f>
        <v>0</v>
      </c>
      <c r="P22" s="727">
        <f>+landbouw!O8</f>
        <v>0</v>
      </c>
      <c r="Q22" s="728">
        <f>+landbouw!P8</f>
        <v>0</v>
      </c>
      <c r="R22" s="729">
        <f>SUM(C22:Q22)</f>
        <v>7173.4115868118533</v>
      </c>
      <c r="S22" s="67"/>
    </row>
    <row r="23" spans="1:19" s="474" customFormat="1" ht="17.25" thickTop="1" thickBot="1">
      <c r="A23" s="734" t="s">
        <v>116</v>
      </c>
      <c r="B23" s="864"/>
      <c r="C23" s="735">
        <f ca="1">C20+C15+C22</f>
        <v>106508.3605737411</v>
      </c>
      <c r="D23" s="735">
        <f t="shared" ref="D23:Q23" ca="1" si="2">D20+D15+D22</f>
        <v>4100.6250000000009</v>
      </c>
      <c r="E23" s="735">
        <f t="shared" ca="1" si="2"/>
        <v>154979.38066435498</v>
      </c>
      <c r="F23" s="735">
        <f t="shared" si="2"/>
        <v>5884.1640907808396</v>
      </c>
      <c r="G23" s="735">
        <f t="shared" ca="1" si="2"/>
        <v>76368.985568660602</v>
      </c>
      <c r="H23" s="735">
        <f t="shared" si="2"/>
        <v>326173.31193333992</v>
      </c>
      <c r="I23" s="735">
        <f t="shared" si="2"/>
        <v>64257.659039709717</v>
      </c>
      <c r="J23" s="735">
        <f t="shared" si="2"/>
        <v>0</v>
      </c>
      <c r="K23" s="735">
        <f t="shared" si="2"/>
        <v>152.5074195862199</v>
      </c>
      <c r="L23" s="735">
        <f t="shared" si="2"/>
        <v>0</v>
      </c>
      <c r="M23" s="735">
        <f t="shared" ca="1" si="2"/>
        <v>0</v>
      </c>
      <c r="N23" s="735">
        <f t="shared" si="2"/>
        <v>20960.873397696785</v>
      </c>
      <c r="O23" s="735">
        <f t="shared" ca="1" si="2"/>
        <v>26879.793455964937</v>
      </c>
      <c r="P23" s="735">
        <f t="shared" si="2"/>
        <v>447.11333333333334</v>
      </c>
      <c r="Q23" s="736">
        <f t="shared" si="2"/>
        <v>1506.2666666666667</v>
      </c>
      <c r="R23" s="737">
        <f ca="1">R20+R15+R22</f>
        <v>788219.04114383517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3460.2830267419026</v>
      </c>
      <c r="D36" s="718">
        <f ca="1">tertiair!C20</f>
        <v>322.01966911764708</v>
      </c>
      <c r="E36" s="718">
        <f ca="1">tertiair!D20</f>
        <v>4275.130690397601</v>
      </c>
      <c r="F36" s="718">
        <f>tertiair!E20</f>
        <v>68.436180516887333</v>
      </c>
      <c r="G36" s="718">
        <f ca="1">tertiair!F20</f>
        <v>478.97674978314342</v>
      </c>
      <c r="H36" s="718">
        <f>tertiair!G20</f>
        <v>0</v>
      </c>
      <c r="I36" s="718">
        <f>tertiair!H20</f>
        <v>0</v>
      </c>
      <c r="J36" s="718">
        <f>tertiair!I20</f>
        <v>0</v>
      </c>
      <c r="K36" s="718">
        <f>tertiair!J20</f>
        <v>1.2099858307020556E-2</v>
      </c>
      <c r="L36" s="718">
        <f>tertiair!K20</f>
        <v>0</v>
      </c>
      <c r="M36" s="718">
        <f ca="1">tertiair!L20</f>
        <v>0</v>
      </c>
      <c r="N36" s="718">
        <f>tertiair!M20</f>
        <v>0</v>
      </c>
      <c r="O36" s="718">
        <f ca="1">tertiair!N20</f>
        <v>0</v>
      </c>
      <c r="P36" s="718">
        <f>tertiair!O20</f>
        <v>0</v>
      </c>
      <c r="Q36" s="828">
        <f>tertiair!P20</f>
        <v>0</v>
      </c>
      <c r="R36" s="917">
        <f ca="1">SUM(C36:Q36)</f>
        <v>8604.858416415489</v>
      </c>
    </row>
    <row r="37" spans="1:18">
      <c r="A37" s="885" t="s">
        <v>225</v>
      </c>
      <c r="B37" s="892"/>
      <c r="C37" s="718">
        <f ca="1">huishoudens!B12</f>
        <v>3211.0471169735997</v>
      </c>
      <c r="D37" s="718">
        <f ca="1">huishoudens!C12</f>
        <v>0</v>
      </c>
      <c r="E37" s="718">
        <f>huishoudens!D12</f>
        <v>6129.8632990320002</v>
      </c>
      <c r="F37" s="718">
        <f>huishoudens!E12</f>
        <v>597.86825501403393</v>
      </c>
      <c r="G37" s="718">
        <f>huishoudens!F12</f>
        <v>16557.418086216105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26496.196757235739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6056.4470496158619</v>
      </c>
      <c r="D39" s="718">
        <f ca="1">industrie!C22</f>
        <v>0</v>
      </c>
      <c r="E39" s="718">
        <f>industrie!D22</f>
        <v>20475.566001734802</v>
      </c>
      <c r="F39" s="718">
        <f>industrie!E22</f>
        <v>462.27116014252988</v>
      </c>
      <c r="G39" s="718">
        <f>industrie!F22</f>
        <v>2184.0345850015738</v>
      </c>
      <c r="H39" s="718">
        <f>industrie!G22</f>
        <v>0</v>
      </c>
      <c r="I39" s="718">
        <f>industrie!H22</f>
        <v>0</v>
      </c>
      <c r="J39" s="718">
        <f>industrie!I22</f>
        <v>0</v>
      </c>
      <c r="K39" s="718">
        <f>industrie!J22</f>
        <v>2.4271952445582213E-2</v>
      </c>
      <c r="L39" s="718">
        <f>industrie!K22</f>
        <v>0</v>
      </c>
      <c r="M39" s="718">
        <f>industrie!L22</f>
        <v>0</v>
      </c>
      <c r="N39" s="718">
        <f>industrie!M22</f>
        <v>0</v>
      </c>
      <c r="O39" s="718">
        <f>industrie!N22</f>
        <v>0</v>
      </c>
      <c r="P39" s="718">
        <f>industrie!O22</f>
        <v>0</v>
      </c>
      <c r="Q39" s="828">
        <f>industrie!P22</f>
        <v>0</v>
      </c>
      <c r="R39" s="918">
        <f ca="1">SUM(C39:Q39)</f>
        <v>29178.343068447211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12727.777193331363</v>
      </c>
      <c r="D41" s="763">
        <f t="shared" ref="D41:R41" ca="1" si="4">SUM(D35:D40)</f>
        <v>322.01966911764708</v>
      </c>
      <c r="E41" s="763">
        <f t="shared" ca="1" si="4"/>
        <v>30880.559991164402</v>
      </c>
      <c r="F41" s="763">
        <f t="shared" si="4"/>
        <v>1128.5755956734511</v>
      </c>
      <c r="G41" s="763">
        <f t="shared" ca="1" si="4"/>
        <v>19220.429421000819</v>
      </c>
      <c r="H41" s="763">
        <f t="shared" si="4"/>
        <v>0</v>
      </c>
      <c r="I41" s="763">
        <f t="shared" si="4"/>
        <v>0</v>
      </c>
      <c r="J41" s="763">
        <f t="shared" si="4"/>
        <v>0</v>
      </c>
      <c r="K41" s="763">
        <f t="shared" si="4"/>
        <v>3.6371810752602769E-2</v>
      </c>
      <c r="L41" s="763">
        <f t="shared" si="4"/>
        <v>0</v>
      </c>
      <c r="M41" s="763">
        <f t="shared" ca="1" si="4"/>
        <v>0</v>
      </c>
      <c r="N41" s="763">
        <f t="shared" si="4"/>
        <v>0</v>
      </c>
      <c r="O41" s="763">
        <f t="shared" ca="1" si="4"/>
        <v>0</v>
      </c>
      <c r="P41" s="763">
        <f t="shared" si="4"/>
        <v>0</v>
      </c>
      <c r="Q41" s="764">
        <f t="shared" si="4"/>
        <v>0</v>
      </c>
      <c r="R41" s="765">
        <f t="shared" ca="1" si="4"/>
        <v>64279.398242098439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523.53302357226517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523.53302357226517</v>
      </c>
    </row>
    <row r="45" spans="1:18" ht="15" thickBot="1">
      <c r="A45" s="888" t="s">
        <v>307</v>
      </c>
      <c r="B45" s="898"/>
      <c r="C45" s="727">
        <f ca="1">transport!B18</f>
        <v>20.193434401884652</v>
      </c>
      <c r="D45" s="727">
        <f>transport!C18</f>
        <v>0</v>
      </c>
      <c r="E45" s="727">
        <f>transport!D18</f>
        <v>111.00725738730461</v>
      </c>
      <c r="F45" s="727">
        <f>transport!E18</f>
        <v>200.11082093780976</v>
      </c>
      <c r="G45" s="727">
        <f>transport!F18</f>
        <v>0</v>
      </c>
      <c r="H45" s="727">
        <f>transport!G18</f>
        <v>86564.741262629497</v>
      </c>
      <c r="I45" s="727">
        <f>transport!H18</f>
        <v>16000.15710088772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102896.20987624422</v>
      </c>
    </row>
    <row r="46" spans="1:18" ht="15.75" thickBot="1">
      <c r="A46" s="886" t="s">
        <v>230</v>
      </c>
      <c r="B46" s="899"/>
      <c r="C46" s="763">
        <f t="shared" ref="C46:R46" ca="1" si="5">SUM(C43:C45)</f>
        <v>20.193434401884652</v>
      </c>
      <c r="D46" s="763">
        <f t="shared" ca="1" si="5"/>
        <v>0</v>
      </c>
      <c r="E46" s="763">
        <f t="shared" si="5"/>
        <v>111.00725738730461</v>
      </c>
      <c r="F46" s="763">
        <f t="shared" si="5"/>
        <v>200.11082093780976</v>
      </c>
      <c r="G46" s="763">
        <f t="shared" si="5"/>
        <v>0</v>
      </c>
      <c r="H46" s="763">
        <f t="shared" si="5"/>
        <v>87088.274286201762</v>
      </c>
      <c r="I46" s="763">
        <f t="shared" si="5"/>
        <v>16000.15710088772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103419.74289981648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127.1634590881381</v>
      </c>
      <c r="D48" s="718">
        <f ca="1">+landbouw!C12</f>
        <v>0</v>
      </c>
      <c r="E48" s="718">
        <f>+landbouw!D12</f>
        <v>314.26764564800004</v>
      </c>
      <c r="F48" s="718">
        <f>+landbouw!E12</f>
        <v>7.0188319959898955</v>
      </c>
      <c r="G48" s="718">
        <f>+landbouw!F12</f>
        <v>1170.0897258315592</v>
      </c>
      <c r="H48" s="718">
        <f>+landbouw!G12</f>
        <v>0</v>
      </c>
      <c r="I48" s="718">
        <f>+landbouw!H12</f>
        <v>0</v>
      </c>
      <c r="J48" s="718">
        <f>+landbouw!I12</f>
        <v>0</v>
      </c>
      <c r="K48" s="718">
        <f>+landbouw!J12</f>
        <v>53.951254722769242</v>
      </c>
      <c r="L48" s="718">
        <f>+landbouw!K12</f>
        <v>0</v>
      </c>
      <c r="M48" s="718">
        <f>+landbouw!L12</f>
        <v>0</v>
      </c>
      <c r="N48" s="718">
        <f>+landbouw!M12</f>
        <v>0</v>
      </c>
      <c r="O48" s="718">
        <f>+landbouw!N12</f>
        <v>0</v>
      </c>
      <c r="P48" s="718">
        <f>+landbouw!O12</f>
        <v>0</v>
      </c>
      <c r="Q48" s="719">
        <f>+landbouw!P12</f>
        <v>0</v>
      </c>
      <c r="R48" s="761">
        <f ca="1">SUM(C48:Q48)</f>
        <v>1672.4909172864564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12875.134086821387</v>
      </c>
      <c r="D53" s="773">
        <f t="shared" ref="D53:Q53" ca="1" si="6">D41+D46+D48</f>
        <v>322.01966911764708</v>
      </c>
      <c r="E53" s="773">
        <f t="shared" ca="1" si="6"/>
        <v>31305.834894199706</v>
      </c>
      <c r="F53" s="773">
        <f t="shared" si="6"/>
        <v>1335.7052486072507</v>
      </c>
      <c r="G53" s="773">
        <f t="shared" ca="1" si="6"/>
        <v>20390.519146832379</v>
      </c>
      <c r="H53" s="773">
        <f t="shared" si="6"/>
        <v>87088.274286201762</v>
      </c>
      <c r="I53" s="773">
        <f t="shared" si="6"/>
        <v>16000.15710088772</v>
      </c>
      <c r="J53" s="773">
        <f t="shared" si="6"/>
        <v>0</v>
      </c>
      <c r="K53" s="773">
        <f t="shared" si="6"/>
        <v>53.987626533521848</v>
      </c>
      <c r="L53" s="773">
        <f t="shared" si="6"/>
        <v>0</v>
      </c>
      <c r="M53" s="773">
        <f t="shared" ca="1" si="6"/>
        <v>0</v>
      </c>
      <c r="N53" s="773">
        <f t="shared" si="6"/>
        <v>0</v>
      </c>
      <c r="O53" s="773">
        <f t="shared" ca="1" si="6"/>
        <v>0</v>
      </c>
      <c r="P53" s="773">
        <f>P41+P46+P48</f>
        <v>0</v>
      </c>
      <c r="Q53" s="774">
        <f t="shared" si="6"/>
        <v>0</v>
      </c>
      <c r="R53" s="775">
        <f ca="1">R41+R46+R48</f>
        <v>169371.63205920139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0.12088378806570103</v>
      </c>
      <c r="D55" s="836">
        <f t="shared" ca="1" si="7"/>
        <v>7.8529411764705875E-2</v>
      </c>
      <c r="E55" s="836">
        <f t="shared" ca="1" si="7"/>
        <v>0.20200000000000001</v>
      </c>
      <c r="F55" s="836">
        <f t="shared" si="7"/>
        <v>0.22700000000000004</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35136.012349987155</v>
      </c>
      <c r="C64" s="795">
        <f>'lokale energieproductie'!B4</f>
        <v>35136.012349987155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10764.025233079579</v>
      </c>
      <c r="C66" s="795">
        <f>'lokale energieproductie'!B6</f>
        <v>10764.025233079579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3645.0000000000005</v>
      </c>
      <c r="C67" s="794">
        <f>B67*IFERROR(SUM(J67:L67)/SUM(D67:M67),0)</f>
        <v>2733.75</v>
      </c>
      <c r="D67" s="826">
        <f>'lokale energieproductie'!C7</f>
        <v>0</v>
      </c>
      <c r="E67" s="827">
        <f>'lokale energieproductie'!D7</f>
        <v>0</v>
      </c>
      <c r="F67" s="827">
        <f>'lokale energieproductie'!E7</f>
        <v>1072.0588235294117</v>
      </c>
      <c r="G67" s="827">
        <f>'lokale energieproductie'!F7</f>
        <v>0</v>
      </c>
      <c r="H67" s="827">
        <f>'lokale energieproductie'!G7</f>
        <v>0</v>
      </c>
      <c r="I67" s="827">
        <f>'lokale energieproductie'!H7</f>
        <v>0</v>
      </c>
      <c r="J67" s="827">
        <f>'lokale energieproductie'!I7</f>
        <v>3216.1764705882347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286.23970588235295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49545.037583066733</v>
      </c>
      <c r="C69" s="803">
        <f>SUM(C64:C68)</f>
        <v>48633.787583066733</v>
      </c>
      <c r="D69" s="804">
        <f t="shared" ref="D69:M69" si="8">SUM(D67:D68)</f>
        <v>0</v>
      </c>
      <c r="E69" s="804">
        <f t="shared" si="8"/>
        <v>0</v>
      </c>
      <c r="F69" s="804">
        <f t="shared" si="8"/>
        <v>1072.0588235294117</v>
      </c>
      <c r="G69" s="804">
        <f t="shared" si="8"/>
        <v>0</v>
      </c>
      <c r="H69" s="804">
        <f t="shared" si="8"/>
        <v>0</v>
      </c>
      <c r="I69" s="804">
        <f t="shared" si="8"/>
        <v>0</v>
      </c>
      <c r="J69" s="804">
        <f t="shared" si="8"/>
        <v>3216.1764705882347</v>
      </c>
      <c r="K69" s="804">
        <f t="shared" si="8"/>
        <v>0</v>
      </c>
      <c r="L69" s="804">
        <f t="shared" si="8"/>
        <v>0</v>
      </c>
      <c r="M69" s="930">
        <f t="shared" si="8"/>
        <v>0</v>
      </c>
      <c r="N69" s="805">
        <v>0</v>
      </c>
      <c r="O69" s="805">
        <f>SUM(O67:O68)</f>
        <v>286.23970588235295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4100.6250000000009</v>
      </c>
      <c r="C78" s="817">
        <f>B78*IFERROR(SUM(I78:L78)/SUM(D78:M78),0)</f>
        <v>3075.4687500000009</v>
      </c>
      <c r="D78" s="832">
        <f>'lokale energieproductie'!C16</f>
        <v>0</v>
      </c>
      <c r="E78" s="832">
        <f>'lokale energieproductie'!D16</f>
        <v>0</v>
      </c>
      <c r="F78" s="832">
        <f>'lokale energieproductie'!E16</f>
        <v>1206.0661764705883</v>
      </c>
      <c r="G78" s="832">
        <f>'lokale energieproductie'!F16</f>
        <v>0</v>
      </c>
      <c r="H78" s="832">
        <f>'lokale energieproductie'!G16</f>
        <v>0</v>
      </c>
      <c r="I78" s="832">
        <f>'lokale energieproductie'!H16</f>
        <v>0</v>
      </c>
      <c r="J78" s="832">
        <f>'lokale energieproductie'!I16</f>
        <v>3618.1985294117649</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322.01966911764708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4100.6250000000009</v>
      </c>
      <c r="C81" s="803">
        <f>SUM(C78:C80)</f>
        <v>3075.4687500000009</v>
      </c>
      <c r="D81" s="803">
        <f t="shared" ref="D81:P81" si="9">SUM(D78:D80)</f>
        <v>0</v>
      </c>
      <c r="E81" s="803">
        <f t="shared" si="9"/>
        <v>0</v>
      </c>
      <c r="F81" s="803">
        <f t="shared" si="9"/>
        <v>1206.0661764705883</v>
      </c>
      <c r="G81" s="803">
        <f t="shared" si="9"/>
        <v>0</v>
      </c>
      <c r="H81" s="803">
        <f t="shared" si="9"/>
        <v>0</v>
      </c>
      <c r="I81" s="803">
        <f t="shared" si="9"/>
        <v>0</v>
      </c>
      <c r="J81" s="803">
        <f t="shared" si="9"/>
        <v>3618.1985294117649</v>
      </c>
      <c r="K81" s="803">
        <f t="shared" si="9"/>
        <v>0</v>
      </c>
      <c r="L81" s="803">
        <f t="shared" si="9"/>
        <v>0</v>
      </c>
      <c r="M81" s="803">
        <f t="shared" si="9"/>
        <v>0</v>
      </c>
      <c r="N81" s="803">
        <v>0</v>
      </c>
      <c r="O81" s="803">
        <f>SUM(O78:O80)</f>
        <v>322.01966911764708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26563.091448030871</v>
      </c>
      <c r="C4" s="478">
        <f>huishoudens!C8</f>
        <v>0</v>
      </c>
      <c r="D4" s="478">
        <f>huishoudens!D8</f>
        <v>30345.857916000001</v>
      </c>
      <c r="E4" s="478">
        <f>huishoudens!E8</f>
        <v>2633.7808590926602</v>
      </c>
      <c r="F4" s="478">
        <f>huishoudens!F8</f>
        <v>62012.801821034103</v>
      </c>
      <c r="G4" s="478">
        <f>huishoudens!G8</f>
        <v>0</v>
      </c>
      <c r="H4" s="478">
        <f>huishoudens!H8</f>
        <v>0</v>
      </c>
      <c r="I4" s="478">
        <f>huishoudens!I8</f>
        <v>0</v>
      </c>
      <c r="J4" s="478">
        <f>huishoudens!J8</f>
        <v>0</v>
      </c>
      <c r="K4" s="478">
        <f>huishoudens!K8</f>
        <v>0</v>
      </c>
      <c r="L4" s="478">
        <f>huishoudens!L8</f>
        <v>0</v>
      </c>
      <c r="M4" s="478">
        <f>huishoudens!M8</f>
        <v>0</v>
      </c>
      <c r="N4" s="478">
        <f>huishoudens!N8</f>
        <v>19634.523537852503</v>
      </c>
      <c r="O4" s="478">
        <f>huishoudens!O8</f>
        <v>445.55</v>
      </c>
      <c r="P4" s="479">
        <f>huishoudens!P8</f>
        <v>1468.1333333333332</v>
      </c>
      <c r="Q4" s="480">
        <f>SUM(B4:P4)</f>
        <v>143103.73891534345</v>
      </c>
    </row>
    <row r="5" spans="1:17">
      <c r="A5" s="477" t="s">
        <v>156</v>
      </c>
      <c r="B5" s="478">
        <f ca="1">tertiair!B16</f>
        <v>27543.633549999995</v>
      </c>
      <c r="C5" s="478">
        <f ca="1">tertiair!C16</f>
        <v>4100.6250000000009</v>
      </c>
      <c r="D5" s="478">
        <f ca="1">tertiair!D16</f>
        <v>21164.013318800004</v>
      </c>
      <c r="E5" s="478">
        <f>tertiair!E16</f>
        <v>301.48097144003231</v>
      </c>
      <c r="F5" s="478">
        <f ca="1">tertiair!F16</f>
        <v>1793.9204111728218</v>
      </c>
      <c r="G5" s="478">
        <f>tertiair!G16</f>
        <v>0</v>
      </c>
      <c r="H5" s="478">
        <f>tertiair!H16</f>
        <v>0</v>
      </c>
      <c r="I5" s="478">
        <f>tertiair!I16</f>
        <v>0</v>
      </c>
      <c r="J5" s="478">
        <f>tertiair!J16</f>
        <v>3.4180390697798185E-2</v>
      </c>
      <c r="K5" s="478">
        <f>tertiair!K16</f>
        <v>0</v>
      </c>
      <c r="L5" s="478">
        <f ca="1">tertiair!L16</f>
        <v>0</v>
      </c>
      <c r="M5" s="478">
        <f>tertiair!M16</f>
        <v>0</v>
      </c>
      <c r="N5" s="478">
        <f ca="1">tertiair!N16</f>
        <v>1375.1909646153492</v>
      </c>
      <c r="O5" s="478">
        <f>tertiair!O16</f>
        <v>1.5633333333333335</v>
      </c>
      <c r="P5" s="479">
        <f>tertiair!P16</f>
        <v>38.133333333333333</v>
      </c>
      <c r="Q5" s="477">
        <f t="shared" ref="Q5:Q13" ca="1" si="0">SUM(B5:P5)</f>
        <v>56318.595063085573</v>
      </c>
    </row>
    <row r="6" spans="1:17">
      <c r="A6" s="477" t="s">
        <v>194</v>
      </c>
      <c r="B6" s="478">
        <f>'openbare verlichting'!B8</f>
        <v>1081.239</v>
      </c>
      <c r="C6" s="478"/>
      <c r="D6" s="478"/>
      <c r="E6" s="478"/>
      <c r="F6" s="478"/>
      <c r="G6" s="478"/>
      <c r="H6" s="478"/>
      <c r="I6" s="478"/>
      <c r="J6" s="478"/>
      <c r="K6" s="478"/>
      <c r="L6" s="478"/>
      <c r="M6" s="478"/>
      <c r="N6" s="478"/>
      <c r="O6" s="478"/>
      <c r="P6" s="479"/>
      <c r="Q6" s="477">
        <f t="shared" si="0"/>
        <v>1081.239</v>
      </c>
    </row>
    <row r="7" spans="1:17">
      <c r="A7" s="477" t="s">
        <v>112</v>
      </c>
      <c r="B7" s="478">
        <f>landbouw!B8</f>
        <v>1051.9480000000001</v>
      </c>
      <c r="C7" s="478">
        <f>landbouw!C8</f>
        <v>0</v>
      </c>
      <c r="D7" s="478">
        <f>landbouw!D8</f>
        <v>1555.780424</v>
      </c>
      <c r="E7" s="478">
        <f>landbouw!E8</f>
        <v>30.919964740043593</v>
      </c>
      <c r="F7" s="478">
        <f>landbouw!F8</f>
        <v>4382.3585237137049</v>
      </c>
      <c r="G7" s="478">
        <f>landbouw!G8</f>
        <v>0</v>
      </c>
      <c r="H7" s="478">
        <f>landbouw!H8</f>
        <v>0</v>
      </c>
      <c r="I7" s="478">
        <f>landbouw!I8</f>
        <v>0</v>
      </c>
      <c r="J7" s="478">
        <f>landbouw!J8</f>
        <v>152.40467435810521</v>
      </c>
      <c r="K7" s="478">
        <f>landbouw!K8</f>
        <v>0</v>
      </c>
      <c r="L7" s="478">
        <f>landbouw!L8</f>
        <v>0</v>
      </c>
      <c r="M7" s="478">
        <f>landbouw!M8</f>
        <v>0</v>
      </c>
      <c r="N7" s="478">
        <f>landbouw!N8</f>
        <v>0</v>
      </c>
      <c r="O7" s="478">
        <f>landbouw!O8</f>
        <v>0</v>
      </c>
      <c r="P7" s="479">
        <f>landbouw!P8</f>
        <v>0</v>
      </c>
      <c r="Q7" s="477">
        <f t="shared" si="0"/>
        <v>7173.4115868118533</v>
      </c>
    </row>
    <row r="8" spans="1:17">
      <c r="A8" s="477" t="s">
        <v>635</v>
      </c>
      <c r="B8" s="478">
        <f>industrie!B18</f>
        <v>50101.400250000006</v>
      </c>
      <c r="C8" s="478">
        <f>industrie!C18</f>
        <v>0</v>
      </c>
      <c r="D8" s="478">
        <f>industrie!D18</f>
        <v>101364.1881274</v>
      </c>
      <c r="E8" s="478">
        <f>industrie!E18</f>
        <v>2036.4368288217174</v>
      </c>
      <c r="F8" s="478">
        <f>industrie!F18</f>
        <v>8179.9048127399756</v>
      </c>
      <c r="G8" s="478">
        <f>industrie!G18</f>
        <v>0</v>
      </c>
      <c r="H8" s="478">
        <f>industrie!H18</f>
        <v>0</v>
      </c>
      <c r="I8" s="478">
        <f>industrie!I18</f>
        <v>0</v>
      </c>
      <c r="J8" s="478">
        <f>industrie!J18</f>
        <v>6.8564837416898908E-2</v>
      </c>
      <c r="K8" s="478">
        <f>industrie!K18</f>
        <v>0</v>
      </c>
      <c r="L8" s="478">
        <f>industrie!L18</f>
        <v>0</v>
      </c>
      <c r="M8" s="478">
        <f>industrie!M18</f>
        <v>0</v>
      </c>
      <c r="N8" s="478">
        <f>industrie!N18</f>
        <v>5870.0789534970827</v>
      </c>
      <c r="O8" s="478">
        <f>industrie!O18</f>
        <v>0</v>
      </c>
      <c r="P8" s="479">
        <f>industrie!P18</f>
        <v>0</v>
      </c>
      <c r="Q8" s="477">
        <f t="shared" si="0"/>
        <v>167552.07753729622</v>
      </c>
    </row>
    <row r="9" spans="1:17" s="483" customFormat="1">
      <c r="A9" s="481" t="s">
        <v>561</v>
      </c>
      <c r="B9" s="482">
        <f>transport!B14</f>
        <v>167.0483257102218</v>
      </c>
      <c r="C9" s="482">
        <f>transport!C14</f>
        <v>0</v>
      </c>
      <c r="D9" s="482">
        <f>transport!D14</f>
        <v>549.54087815497326</v>
      </c>
      <c r="E9" s="482">
        <f>transport!E14</f>
        <v>881.54546668638659</v>
      </c>
      <c r="F9" s="482">
        <f>transport!F14</f>
        <v>0</v>
      </c>
      <c r="G9" s="482">
        <f>transport!G14</f>
        <v>324212.51409224531</v>
      </c>
      <c r="H9" s="482">
        <f>transport!H14</f>
        <v>64257.659039709717</v>
      </c>
      <c r="I9" s="482">
        <f>transport!I14</f>
        <v>0</v>
      </c>
      <c r="J9" s="482">
        <f>transport!J14</f>
        <v>0</v>
      </c>
      <c r="K9" s="482">
        <f>transport!K14</f>
        <v>0</v>
      </c>
      <c r="L9" s="482">
        <f>transport!L14</f>
        <v>0</v>
      </c>
      <c r="M9" s="482">
        <f>transport!M14</f>
        <v>20849.508736414453</v>
      </c>
      <c r="N9" s="482">
        <f>transport!N14</f>
        <v>0</v>
      </c>
      <c r="O9" s="482">
        <f>transport!O14</f>
        <v>0</v>
      </c>
      <c r="P9" s="482">
        <f>transport!P14</f>
        <v>0</v>
      </c>
      <c r="Q9" s="481">
        <f>SUM(B9:P9)</f>
        <v>410917.81653892103</v>
      </c>
    </row>
    <row r="10" spans="1:17">
      <c r="A10" s="477" t="s">
        <v>551</v>
      </c>
      <c r="B10" s="478">
        <f>transport!B54</f>
        <v>0</v>
      </c>
      <c r="C10" s="478">
        <f>transport!C54</f>
        <v>0</v>
      </c>
      <c r="D10" s="478">
        <f>transport!D54</f>
        <v>0</v>
      </c>
      <c r="E10" s="478">
        <f>transport!E54</f>
        <v>0</v>
      </c>
      <c r="F10" s="478">
        <f>transport!F54</f>
        <v>0</v>
      </c>
      <c r="G10" s="478">
        <f>transport!G54</f>
        <v>1960.7978410946262</v>
      </c>
      <c r="H10" s="478">
        <f>transport!H54</f>
        <v>0</v>
      </c>
      <c r="I10" s="478">
        <f>transport!I54</f>
        <v>0</v>
      </c>
      <c r="J10" s="478">
        <f>transport!J54</f>
        <v>0</v>
      </c>
      <c r="K10" s="478">
        <f>transport!K54</f>
        <v>0</v>
      </c>
      <c r="L10" s="478">
        <f>transport!L54</f>
        <v>0</v>
      </c>
      <c r="M10" s="478">
        <f>transport!M54</f>
        <v>111.36466128233056</v>
      </c>
      <c r="N10" s="478">
        <f>transport!N54</f>
        <v>0</v>
      </c>
      <c r="O10" s="478">
        <f>transport!O54</f>
        <v>0</v>
      </c>
      <c r="P10" s="479">
        <f>transport!P54</f>
        <v>0</v>
      </c>
      <c r="Q10" s="477">
        <f t="shared" si="0"/>
        <v>2072.1625023769566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106508.3605737411</v>
      </c>
      <c r="C14" s="488">
        <f t="shared" ref="C14:Q14" ca="1" si="1">SUM(C4:C13)</f>
        <v>4100.6250000000009</v>
      </c>
      <c r="D14" s="488">
        <f t="shared" ca="1" si="1"/>
        <v>154979.38066435498</v>
      </c>
      <c r="E14" s="488">
        <f t="shared" si="1"/>
        <v>5884.1640907808396</v>
      </c>
      <c r="F14" s="488">
        <f t="shared" ca="1" si="1"/>
        <v>76368.985568660602</v>
      </c>
      <c r="G14" s="488">
        <f t="shared" si="1"/>
        <v>326173.31193333992</v>
      </c>
      <c r="H14" s="488">
        <f t="shared" si="1"/>
        <v>64257.659039709717</v>
      </c>
      <c r="I14" s="488">
        <f t="shared" si="1"/>
        <v>0</v>
      </c>
      <c r="J14" s="488">
        <f t="shared" si="1"/>
        <v>152.5074195862199</v>
      </c>
      <c r="K14" s="488">
        <f t="shared" si="1"/>
        <v>0</v>
      </c>
      <c r="L14" s="488">
        <f t="shared" ca="1" si="1"/>
        <v>0</v>
      </c>
      <c r="M14" s="488">
        <f t="shared" si="1"/>
        <v>20960.873397696785</v>
      </c>
      <c r="N14" s="488">
        <f t="shared" ca="1" si="1"/>
        <v>26879.793455964937</v>
      </c>
      <c r="O14" s="488">
        <f t="shared" si="1"/>
        <v>447.11333333333334</v>
      </c>
      <c r="P14" s="489">
        <f t="shared" si="1"/>
        <v>1506.2666666666667</v>
      </c>
      <c r="Q14" s="489">
        <f t="shared" ca="1" si="1"/>
        <v>788219.04114383517</v>
      </c>
    </row>
    <row r="16" spans="1:17">
      <c r="A16" s="491" t="s">
        <v>556</v>
      </c>
      <c r="B16" s="841">
        <f ca="1">huishoudens!B10</f>
        <v>0.12088378806570105</v>
      </c>
      <c r="C16" s="841">
        <f ca="1">huishoudens!C10</f>
        <v>7.8529411764705875E-2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3211.0471169735997</v>
      </c>
      <c r="C21" s="478">
        <f t="shared" ref="C21:C30" ca="1" si="3">C4*$C$16</f>
        <v>0</v>
      </c>
      <c r="D21" s="478">
        <f t="shared" ref="D21:D30" si="4">D4*$D$16</f>
        <v>6129.8632990320002</v>
      </c>
      <c r="E21" s="478">
        <f t="shared" ref="E21:E30" si="5">E4*$E$16</f>
        <v>597.86825501403393</v>
      </c>
      <c r="F21" s="478">
        <f t="shared" ref="F21:F30" si="6">F4*$F$16</f>
        <v>16557.418086216105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26496.196757235739</v>
      </c>
    </row>
    <row r="22" spans="1:17">
      <c r="A22" s="477" t="s">
        <v>156</v>
      </c>
      <c r="B22" s="478">
        <f t="shared" ca="1" si="2"/>
        <v>3329.5787606175322</v>
      </c>
      <c r="C22" s="478">
        <f t="shared" ca="1" si="3"/>
        <v>322.01966911764708</v>
      </c>
      <c r="D22" s="478">
        <f t="shared" ca="1" si="4"/>
        <v>4275.130690397601</v>
      </c>
      <c r="E22" s="478">
        <f t="shared" si="5"/>
        <v>68.436180516887333</v>
      </c>
      <c r="F22" s="478">
        <f t="shared" ca="1" si="6"/>
        <v>478.97674978314342</v>
      </c>
      <c r="G22" s="478">
        <f t="shared" si="7"/>
        <v>0</v>
      </c>
      <c r="H22" s="478">
        <f t="shared" si="8"/>
        <v>0</v>
      </c>
      <c r="I22" s="478">
        <f t="shared" si="9"/>
        <v>0</v>
      </c>
      <c r="J22" s="478">
        <f t="shared" si="10"/>
        <v>1.2099858307020556E-2</v>
      </c>
      <c r="K22" s="478">
        <f t="shared" si="11"/>
        <v>0</v>
      </c>
      <c r="L22" s="478">
        <f t="shared" ca="1" si="12"/>
        <v>0</v>
      </c>
      <c r="M22" s="478">
        <f t="shared" si="13"/>
        <v>0</v>
      </c>
      <c r="N22" s="478">
        <f t="shared" ca="1" si="14"/>
        <v>0</v>
      </c>
      <c r="O22" s="478">
        <f t="shared" si="15"/>
        <v>0</v>
      </c>
      <c r="P22" s="479">
        <f t="shared" si="16"/>
        <v>0</v>
      </c>
      <c r="Q22" s="477">
        <f t="shared" ref="Q22:Q30" ca="1" si="17">SUM(B22:P22)</f>
        <v>8474.1541502911186</v>
      </c>
    </row>
    <row r="23" spans="1:17">
      <c r="A23" s="477" t="s">
        <v>194</v>
      </c>
      <c r="B23" s="478">
        <f t="shared" ca="1" si="2"/>
        <v>130.70426612437055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130.70426612437055</v>
      </c>
    </row>
    <row r="24" spans="1:17">
      <c r="A24" s="477" t="s">
        <v>112</v>
      </c>
      <c r="B24" s="478">
        <f t="shared" ca="1" si="2"/>
        <v>127.1634590881381</v>
      </c>
      <c r="C24" s="478">
        <f t="shared" ca="1" si="3"/>
        <v>0</v>
      </c>
      <c r="D24" s="478">
        <f t="shared" si="4"/>
        <v>314.26764564800004</v>
      </c>
      <c r="E24" s="478">
        <f t="shared" si="5"/>
        <v>7.0188319959898955</v>
      </c>
      <c r="F24" s="478">
        <f t="shared" si="6"/>
        <v>1170.0897258315592</v>
      </c>
      <c r="G24" s="478">
        <f t="shared" si="7"/>
        <v>0</v>
      </c>
      <c r="H24" s="478">
        <f t="shared" si="8"/>
        <v>0</v>
      </c>
      <c r="I24" s="478">
        <f t="shared" si="9"/>
        <v>0</v>
      </c>
      <c r="J24" s="478">
        <f t="shared" si="10"/>
        <v>53.951254722769242</v>
      </c>
      <c r="K24" s="478">
        <f t="shared" si="11"/>
        <v>0</v>
      </c>
      <c r="L24" s="478">
        <f t="shared" si="12"/>
        <v>0</v>
      </c>
      <c r="M24" s="478">
        <f t="shared" si="13"/>
        <v>0</v>
      </c>
      <c r="N24" s="478">
        <f t="shared" si="14"/>
        <v>0</v>
      </c>
      <c r="O24" s="478">
        <f t="shared" si="15"/>
        <v>0</v>
      </c>
      <c r="P24" s="479">
        <f t="shared" si="16"/>
        <v>0</v>
      </c>
      <c r="Q24" s="477">
        <f t="shared" ca="1" si="17"/>
        <v>1672.4909172864564</v>
      </c>
    </row>
    <row r="25" spans="1:17">
      <c r="A25" s="477" t="s">
        <v>635</v>
      </c>
      <c r="B25" s="478">
        <f t="shared" ca="1" si="2"/>
        <v>6056.4470496158619</v>
      </c>
      <c r="C25" s="478">
        <f t="shared" ca="1" si="3"/>
        <v>0</v>
      </c>
      <c r="D25" s="478">
        <f t="shared" si="4"/>
        <v>20475.566001734802</v>
      </c>
      <c r="E25" s="478">
        <f t="shared" si="5"/>
        <v>462.27116014252988</v>
      </c>
      <c r="F25" s="478">
        <f t="shared" si="6"/>
        <v>2184.0345850015738</v>
      </c>
      <c r="G25" s="478">
        <f t="shared" si="7"/>
        <v>0</v>
      </c>
      <c r="H25" s="478">
        <f t="shared" si="8"/>
        <v>0</v>
      </c>
      <c r="I25" s="478">
        <f t="shared" si="9"/>
        <v>0</v>
      </c>
      <c r="J25" s="478">
        <f t="shared" si="10"/>
        <v>2.4271952445582213E-2</v>
      </c>
      <c r="K25" s="478">
        <f t="shared" si="11"/>
        <v>0</v>
      </c>
      <c r="L25" s="478">
        <f t="shared" si="12"/>
        <v>0</v>
      </c>
      <c r="M25" s="478">
        <f t="shared" si="13"/>
        <v>0</v>
      </c>
      <c r="N25" s="478">
        <f t="shared" si="14"/>
        <v>0</v>
      </c>
      <c r="O25" s="478">
        <f t="shared" si="15"/>
        <v>0</v>
      </c>
      <c r="P25" s="479">
        <f t="shared" si="16"/>
        <v>0</v>
      </c>
      <c r="Q25" s="477">
        <f t="shared" ca="1" si="17"/>
        <v>29178.343068447211</v>
      </c>
    </row>
    <row r="26" spans="1:17" s="483" customFormat="1">
      <c r="A26" s="481" t="s">
        <v>561</v>
      </c>
      <c r="B26" s="835">
        <f t="shared" ca="1" si="2"/>
        <v>20.193434401884652</v>
      </c>
      <c r="C26" s="482">
        <f t="shared" ca="1" si="3"/>
        <v>0</v>
      </c>
      <c r="D26" s="482">
        <f t="shared" si="4"/>
        <v>111.00725738730461</v>
      </c>
      <c r="E26" s="482">
        <f t="shared" si="5"/>
        <v>200.11082093780976</v>
      </c>
      <c r="F26" s="482">
        <f t="shared" si="6"/>
        <v>0</v>
      </c>
      <c r="G26" s="482">
        <f t="shared" si="7"/>
        <v>86564.741262629497</v>
      </c>
      <c r="H26" s="482">
        <f t="shared" si="8"/>
        <v>16000.15710088772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102896.20987624422</v>
      </c>
    </row>
    <row r="27" spans="1:17">
      <c r="A27" s="477" t="s">
        <v>551</v>
      </c>
      <c r="B27" s="478">
        <f t="shared" ca="1" si="2"/>
        <v>0</v>
      </c>
      <c r="C27" s="478">
        <f t="shared" ca="1" si="3"/>
        <v>0</v>
      </c>
      <c r="D27" s="478">
        <f t="shared" si="4"/>
        <v>0</v>
      </c>
      <c r="E27" s="478">
        <f t="shared" si="5"/>
        <v>0</v>
      </c>
      <c r="F27" s="478">
        <f t="shared" si="6"/>
        <v>0</v>
      </c>
      <c r="G27" s="478">
        <f t="shared" si="7"/>
        <v>523.53302357226517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523.53302357226517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12875.134086821388</v>
      </c>
      <c r="C31" s="488">
        <f t="shared" ca="1" si="18"/>
        <v>322.01966911764708</v>
      </c>
      <c r="D31" s="488">
        <f t="shared" ca="1" si="18"/>
        <v>31305.834894199706</v>
      </c>
      <c r="E31" s="488">
        <f t="shared" si="18"/>
        <v>1335.7052486072507</v>
      </c>
      <c r="F31" s="488">
        <f t="shared" ca="1" si="18"/>
        <v>20390.519146832379</v>
      </c>
      <c r="G31" s="488">
        <f t="shared" si="18"/>
        <v>87088.274286201762</v>
      </c>
      <c r="H31" s="488">
        <f t="shared" si="18"/>
        <v>16000.15710088772</v>
      </c>
      <c r="I31" s="488">
        <f t="shared" si="18"/>
        <v>0</v>
      </c>
      <c r="J31" s="488">
        <f t="shared" si="18"/>
        <v>53.987626533521841</v>
      </c>
      <c r="K31" s="488">
        <f t="shared" si="18"/>
        <v>0</v>
      </c>
      <c r="L31" s="488">
        <f t="shared" ca="1" si="18"/>
        <v>0</v>
      </c>
      <c r="M31" s="488">
        <f t="shared" si="18"/>
        <v>0</v>
      </c>
      <c r="N31" s="488">
        <f t="shared" ca="1" si="18"/>
        <v>0</v>
      </c>
      <c r="O31" s="488">
        <f t="shared" si="18"/>
        <v>0</v>
      </c>
      <c r="P31" s="489">
        <f t="shared" si="18"/>
        <v>0</v>
      </c>
      <c r="Q31" s="489">
        <f t="shared" ca="1" si="18"/>
        <v>169371.63205920139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0.12088378806570105</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0.12088378806570105</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0.12088378806570105</v>
      </c>
      <c r="C29" s="529">
        <f ca="1">'EF ele_warmte'!B22</f>
        <v>7.8529411764705875E-2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2018-09-06T12:49:09Z</dcterms:modified>
</cp:coreProperties>
</file>